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30" windowWidth="11295" windowHeight="6240" firstSheet="3" activeTab="3"/>
  </bookViews>
  <sheets>
    <sheet name="ONIV" sheetId="1" state="hidden" r:id="rId1"/>
    <sheet name="OBEC " sheetId="2" state="hidden" r:id="rId2"/>
    <sheet name="čerpání rozpočtu obce" sheetId="3" state="hidden" r:id="rId3"/>
    <sheet name="čerpání rozpočtu celkového" sheetId="5" r:id="rId4"/>
    <sheet name="čerpání dílčích rozpočtů" sheetId="6" r:id="rId5"/>
  </sheets>
  <definedNames>
    <definedName name="_xlnm.Print_Area" localSheetId="0">ONIV!$A$1:$E$58</definedName>
  </definedNames>
  <calcPr calcId="125725"/>
</workbook>
</file>

<file path=xl/calcChain.xml><?xml version="1.0" encoding="utf-8"?>
<calcChain xmlns="http://schemas.openxmlformats.org/spreadsheetml/2006/main">
  <c r="D118" i="6"/>
  <c r="D117"/>
  <c r="D121"/>
  <c r="D116"/>
  <c r="D109"/>
  <c r="D9" i="3"/>
  <c r="D8" s="1"/>
  <c r="D7"/>
  <c r="B14" i="1"/>
  <c r="B12"/>
  <c r="B10"/>
  <c r="B8"/>
  <c r="B7"/>
  <c r="D88" i="6"/>
  <c r="D86"/>
  <c r="D49"/>
  <c r="D43"/>
  <c r="D21" i="3"/>
  <c r="D12"/>
  <c r="D47" i="6"/>
  <c r="B9" i="1"/>
  <c r="D10" i="3"/>
  <c r="D6"/>
  <c r="E123" i="6"/>
  <c r="E121"/>
  <c r="E118"/>
  <c r="E117"/>
  <c r="E116"/>
  <c r="E113"/>
  <c r="D106" i="2"/>
  <c r="D118"/>
  <c r="C121" s="1"/>
  <c r="E109" i="6" s="1"/>
  <c r="C118" i="2"/>
  <c r="B121" s="1"/>
  <c r="D123" i="6"/>
  <c r="D113"/>
  <c r="D121" i="2" l="1"/>
  <c r="C42" i="1" s="1"/>
  <c r="D42" i="6"/>
  <c r="D20" i="3"/>
  <c r="D23" i="6" s="1"/>
  <c r="D9"/>
  <c r="D9" i="5" s="1"/>
  <c r="E43" i="6"/>
  <c r="B17" i="1"/>
  <c r="D39" i="6"/>
  <c r="H10" i="1"/>
  <c r="B27"/>
  <c r="B29"/>
  <c r="H8"/>
  <c r="F8"/>
  <c r="D106" i="6"/>
  <c r="D16" i="3"/>
  <c r="D19" i="6" s="1"/>
  <c r="D95"/>
  <c r="D93"/>
  <c r="D92"/>
  <c r="D91"/>
  <c r="D81"/>
  <c r="D64"/>
  <c r="D63" s="1"/>
  <c r="D60"/>
  <c r="D57" s="1"/>
  <c r="D46"/>
  <c r="D45"/>
  <c r="D44"/>
  <c r="D41"/>
  <c r="D34"/>
  <c r="D32" s="1"/>
  <c r="D15"/>
  <c r="D11" i="3"/>
  <c r="D13" i="6"/>
  <c r="D13" i="5" s="1"/>
  <c r="D10" i="6"/>
  <c r="D10" i="5" s="1"/>
  <c r="D5" i="3"/>
  <c r="D6" i="6" s="1"/>
  <c r="B28" i="1"/>
  <c r="H12"/>
  <c r="H7"/>
  <c r="D14" i="6"/>
  <c r="C24"/>
  <c r="C24" i="5" s="1"/>
  <c r="D24" i="6"/>
  <c r="D24" i="5" s="1"/>
  <c r="D37" i="2"/>
  <c r="D33"/>
  <c r="C33"/>
  <c r="E36" s="1"/>
  <c r="E32"/>
  <c r="E21" i="3" s="1"/>
  <c r="E24" i="6" s="1"/>
  <c r="E24" i="5" s="1"/>
  <c r="E13" i="2"/>
  <c r="E27"/>
  <c r="E16" i="3" s="1"/>
  <c r="E19" i="6" s="1"/>
  <c r="E88"/>
  <c r="D122"/>
  <c r="D120"/>
  <c r="D119"/>
  <c r="D115"/>
  <c r="D114"/>
  <c r="D98"/>
  <c r="D97"/>
  <c r="D96"/>
  <c r="D94"/>
  <c r="D90"/>
  <c r="D89"/>
  <c r="D48"/>
  <c r="D19" i="3"/>
  <c r="D22" i="6"/>
  <c r="D22" i="5" s="1"/>
  <c r="D18" i="3"/>
  <c r="D21" i="6"/>
  <c r="D21" i="5" s="1"/>
  <c r="D17" i="3"/>
  <c r="D15"/>
  <c r="D14"/>
  <c r="D17" i="6"/>
  <c r="D13" i="3"/>
  <c r="D16" i="6"/>
  <c r="E82"/>
  <c r="C21"/>
  <c r="C21" i="5" s="1"/>
  <c r="C101" i="2"/>
  <c r="B104"/>
  <c r="E6"/>
  <c r="F12" i="1"/>
  <c r="F11"/>
  <c r="F7"/>
  <c r="G12" s="1"/>
  <c r="E91" i="6"/>
  <c r="E86"/>
  <c r="F23" i="5"/>
  <c r="F22"/>
  <c r="F20"/>
  <c r="F19"/>
  <c r="F18"/>
  <c r="F17"/>
  <c r="F16"/>
  <c r="F15"/>
  <c r="F14"/>
  <c r="F13"/>
  <c r="F12"/>
  <c r="F10"/>
  <c r="F9"/>
  <c r="F8"/>
  <c r="F7"/>
  <c r="F6"/>
  <c r="C8"/>
  <c r="C7"/>
  <c r="E95" i="6"/>
  <c r="E93"/>
  <c r="E92"/>
  <c r="E74"/>
  <c r="E64"/>
  <c r="E62"/>
  <c r="E60"/>
  <c r="E49"/>
  <c r="E47"/>
  <c r="E46"/>
  <c r="E45"/>
  <c r="E44"/>
  <c r="E42"/>
  <c r="E41"/>
  <c r="E39"/>
  <c r="E34"/>
  <c r="E32" s="1"/>
  <c r="E20"/>
  <c r="E18"/>
  <c r="D20"/>
  <c r="D18"/>
  <c r="C23"/>
  <c r="C23" i="5" s="1"/>
  <c r="C22" i="6"/>
  <c r="C22" i="5" s="1"/>
  <c r="C20" i="6"/>
  <c r="C20" i="5" s="1"/>
  <c r="C19" i="6"/>
  <c r="C19" i="5" s="1"/>
  <c r="C18" i="6"/>
  <c r="C18" i="5" s="1"/>
  <c r="C17" i="6"/>
  <c r="C17" i="5" s="1"/>
  <c r="C16" i="6"/>
  <c r="C16" i="5" s="1"/>
  <c r="C15" i="6"/>
  <c r="C15" i="5" s="1"/>
  <c r="C14" i="6"/>
  <c r="C14" i="5" s="1"/>
  <c r="C13" i="6"/>
  <c r="C13" i="5" s="1"/>
  <c r="C12" i="6"/>
  <c r="C12" i="5" s="1"/>
  <c r="C10" i="6"/>
  <c r="C10" i="5" s="1"/>
  <c r="C9" i="6"/>
  <c r="C6"/>
  <c r="C6" i="5" s="1"/>
  <c r="F112" i="6"/>
  <c r="C112"/>
  <c r="F106"/>
  <c r="C106"/>
  <c r="F87"/>
  <c r="C87"/>
  <c r="F81"/>
  <c r="C81"/>
  <c r="F63"/>
  <c r="C63"/>
  <c r="F57"/>
  <c r="C57"/>
  <c r="F38"/>
  <c r="C38"/>
  <c r="F32"/>
  <c r="C32"/>
  <c r="F11"/>
  <c r="F5"/>
  <c r="D73" i="2"/>
  <c r="C76" s="1"/>
  <c r="C84"/>
  <c r="B87" s="1"/>
  <c r="D84"/>
  <c r="C87" s="1"/>
  <c r="C30" i="1"/>
  <c r="E23"/>
  <c r="E7" i="2"/>
  <c r="D78"/>
  <c r="C8" i="3"/>
  <c r="C4"/>
  <c r="E1"/>
  <c r="E1" i="5" s="1"/>
  <c r="E4" i="2"/>
  <c r="E5"/>
  <c r="E6" i="3" s="1"/>
  <c r="E9" i="6" s="1"/>
  <c r="E9" i="5" s="1"/>
  <c r="E8" i="2"/>
  <c r="E9"/>
  <c r="E5" i="3" s="1"/>
  <c r="E10" i="2"/>
  <c r="E11"/>
  <c r="E12"/>
  <c r="E14"/>
  <c r="E10" i="3" s="1"/>
  <c r="E13" i="6" s="1"/>
  <c r="E13" i="5" s="1"/>
  <c r="E15" i="2"/>
  <c r="E11" i="3" s="1"/>
  <c r="E14" i="6" s="1"/>
  <c r="E16" i="2"/>
  <c r="E17"/>
  <c r="E18"/>
  <c r="E19"/>
  <c r="E20"/>
  <c r="E21"/>
  <c r="E22"/>
  <c r="E23"/>
  <c r="E24"/>
  <c r="E25"/>
  <c r="E13" i="3"/>
  <c r="E16" i="6" s="1"/>
  <c r="E26" i="2"/>
  <c r="E14" i="3"/>
  <c r="E17" i="6" s="1"/>
  <c r="E28" i="2"/>
  <c r="E18" i="3"/>
  <c r="E21" i="6" s="1"/>
  <c r="E21" i="5" s="1"/>
  <c r="E29" i="2"/>
  <c r="E30"/>
  <c r="E19" i="3" s="1"/>
  <c r="E22" i="6" s="1"/>
  <c r="E22" i="5" s="1"/>
  <c r="E31" i="2"/>
  <c r="E20" i="3" s="1"/>
  <c r="E23" i="6" s="1"/>
  <c r="C37" i="2"/>
  <c r="D43"/>
  <c r="D53" s="1"/>
  <c r="D48"/>
  <c r="C51" s="1"/>
  <c r="C63"/>
  <c r="B66" s="1"/>
  <c r="D63"/>
  <c r="C66" s="1"/>
  <c r="C73"/>
  <c r="B76" s="1"/>
  <c r="D89"/>
  <c r="D101"/>
  <c r="D23" i="1"/>
  <c r="C41" s="1"/>
  <c r="C48" i="2"/>
  <c r="B51" s="1"/>
  <c r="D112" i="6" l="1"/>
  <c r="D14" i="5"/>
  <c r="E14"/>
  <c r="B6" i="1"/>
  <c r="E18" i="5"/>
  <c r="H9" i="1"/>
  <c r="H23" s="1"/>
  <c r="G9"/>
  <c r="G11" s="1"/>
  <c r="D68" i="2"/>
  <c r="E63" i="6"/>
  <c r="E20" i="5"/>
  <c r="F5"/>
  <c r="E16"/>
  <c r="E112" i="6"/>
  <c r="D17" i="5"/>
  <c r="D18"/>
  <c r="E57" i="6"/>
  <c r="D76" i="2"/>
  <c r="E81" i="6"/>
  <c r="E37" i="2"/>
  <c r="E38" s="1"/>
  <c r="E9" i="3"/>
  <c r="E12" i="6" s="1"/>
  <c r="E12" i="5" s="1"/>
  <c r="E17"/>
  <c r="F11"/>
  <c r="D16"/>
  <c r="D87" i="6"/>
  <c r="D8" i="5"/>
  <c r="D23"/>
  <c r="D19"/>
  <c r="D15"/>
  <c r="D38" i="6"/>
  <c r="D7" i="5"/>
  <c r="D12" i="6"/>
  <c r="D12" i="5" s="1"/>
  <c r="D6"/>
  <c r="D5" i="6"/>
  <c r="D4" i="3"/>
  <c r="C5" i="6"/>
  <c r="E106"/>
  <c r="E8" i="5"/>
  <c r="C104" i="2"/>
  <c r="D104" s="1"/>
  <c r="D87"/>
  <c r="C45" i="1" s="1"/>
  <c r="E19" i="5"/>
  <c r="E87" i="6"/>
  <c r="D66" i="2"/>
  <c r="D51"/>
  <c r="C47" i="1" s="1"/>
  <c r="E23" i="5"/>
  <c r="E12" i="3"/>
  <c r="E15" i="6" s="1"/>
  <c r="E15" i="5" s="1"/>
  <c r="E7" i="3"/>
  <c r="E10" i="6" s="1"/>
  <c r="E10" i="5" s="1"/>
  <c r="E33" i="2"/>
  <c r="G13" i="1"/>
  <c r="E38" i="6"/>
  <c r="F23" i="1"/>
  <c r="E7" i="5"/>
  <c r="B30" i="1"/>
  <c r="E30" s="1"/>
  <c r="C11" i="5"/>
  <c r="E6" i="6"/>
  <c r="C9" i="5"/>
  <c r="C5" s="1"/>
  <c r="C11" i="6"/>
  <c r="D20" i="5"/>
  <c r="C48" i="1" l="1"/>
  <c r="C52" s="1"/>
  <c r="C58" s="1"/>
  <c r="G23"/>
  <c r="D11" i="5"/>
  <c r="D5"/>
  <c r="D11" i="6"/>
  <c r="E11"/>
  <c r="E11" i="5"/>
  <c r="E8" i="3"/>
  <c r="E4"/>
  <c r="E6" i="5"/>
  <c r="E5" s="1"/>
  <c r="E5" i="6"/>
  <c r="E22" i="3" l="1"/>
</calcChain>
</file>

<file path=xl/sharedStrings.xml><?xml version="1.0" encoding="utf-8"?>
<sst xmlns="http://schemas.openxmlformats.org/spreadsheetml/2006/main" count="633" uniqueCount="268">
  <si>
    <t>Položka</t>
  </si>
  <si>
    <t>Rozpočet</t>
  </si>
  <si>
    <t>Výnosy</t>
  </si>
  <si>
    <t>Náklady</t>
  </si>
  <si>
    <t>Účet</t>
  </si>
  <si>
    <t>Odvody</t>
  </si>
  <si>
    <t>FKSP</t>
  </si>
  <si>
    <t>501.10</t>
  </si>
  <si>
    <t xml:space="preserve"> </t>
  </si>
  <si>
    <t>512.10</t>
  </si>
  <si>
    <t xml:space="preserve">Účet </t>
  </si>
  <si>
    <t>602.10</t>
  </si>
  <si>
    <t>Školné</t>
  </si>
  <si>
    <t>Dotace - obec</t>
  </si>
  <si>
    <t>SM - učebnice, pomůcky</t>
  </si>
  <si>
    <t>501.20</t>
  </si>
  <si>
    <t>SM - materiál</t>
  </si>
  <si>
    <t>Cestovné</t>
  </si>
  <si>
    <t>518.10</t>
  </si>
  <si>
    <t>Poštovné</t>
  </si>
  <si>
    <t>518.20</t>
  </si>
  <si>
    <t>Telef. poplatky, radio, TV</t>
  </si>
  <si>
    <t>518.40</t>
  </si>
  <si>
    <t>Zpracování dat</t>
  </si>
  <si>
    <t>518.60</t>
  </si>
  <si>
    <t>Ostatní služby</t>
  </si>
  <si>
    <t>551.10</t>
  </si>
  <si>
    <t>Odpisy</t>
  </si>
  <si>
    <t>Celkem</t>
  </si>
  <si>
    <t>Zůstatek</t>
  </si>
  <si>
    <t>518.50</t>
  </si>
  <si>
    <t>Pojištění</t>
  </si>
  <si>
    <t>511.10</t>
  </si>
  <si>
    <t>Opravy a udržování</t>
  </si>
  <si>
    <t>518.30</t>
  </si>
  <si>
    <t>Školení</t>
  </si>
  <si>
    <t>Čerpáno</t>
  </si>
  <si>
    <t xml:space="preserve">DKP   </t>
  </si>
  <si>
    <t>Bankovní účet</t>
  </si>
  <si>
    <t>Fond investiční</t>
  </si>
  <si>
    <t>Fond rezervní</t>
  </si>
  <si>
    <t>ONIV ZŠ</t>
  </si>
  <si>
    <t>ONIV MŠ</t>
  </si>
  <si>
    <t>Příjmy ze stravného</t>
  </si>
  <si>
    <t>ONIV kuchyň</t>
  </si>
  <si>
    <t>Součet</t>
  </si>
  <si>
    <t>PC licence a programy</t>
  </si>
  <si>
    <t>524.11 - sociální</t>
  </si>
  <si>
    <t>524.21 - zdravotní</t>
  </si>
  <si>
    <t>501.11 - učebnice</t>
  </si>
  <si>
    <t xml:space="preserve">512.11 - cestovné </t>
  </si>
  <si>
    <t xml:space="preserve">518.31 - školení, semináře </t>
  </si>
  <si>
    <t>525.11 - Kooperativa</t>
  </si>
  <si>
    <t>501.60</t>
  </si>
  <si>
    <t>Drogerie</t>
  </si>
  <si>
    <t>602.30</t>
  </si>
  <si>
    <t>Stravné</t>
  </si>
  <si>
    <t>501.50</t>
  </si>
  <si>
    <t>Potraviny</t>
  </si>
  <si>
    <t>602.300</t>
  </si>
  <si>
    <t>501.500</t>
  </si>
  <si>
    <t>521.110</t>
  </si>
  <si>
    <t>Mzdové náklady</t>
  </si>
  <si>
    <t>524.110</t>
  </si>
  <si>
    <t>Sociální pojištění</t>
  </si>
  <si>
    <t>524.210</t>
  </si>
  <si>
    <t>Zdravotní pojištění</t>
  </si>
  <si>
    <t>527.110</t>
  </si>
  <si>
    <t>Zákonné pojištění</t>
  </si>
  <si>
    <t>převod z min. období</t>
  </si>
  <si>
    <t>Počáteční zůstatek</t>
  </si>
  <si>
    <t>Sledované období</t>
  </si>
  <si>
    <t>Koneční zůstatek</t>
  </si>
  <si>
    <t>zůstatek</t>
  </si>
  <si>
    <t>527.11 - FKSP příděly</t>
  </si>
  <si>
    <t>sledované období</t>
  </si>
  <si>
    <t>648.10</t>
  </si>
  <si>
    <t>Čerpání z fondů</t>
  </si>
  <si>
    <t>Celkem ONIV</t>
  </si>
  <si>
    <t>528.11 - nemocenské</t>
  </si>
  <si>
    <t>518.400</t>
  </si>
  <si>
    <t xml:space="preserve">Vyúčtování potraviny k </t>
  </si>
  <si>
    <t xml:space="preserve">Vyúčtování CS k </t>
  </si>
  <si>
    <t xml:space="preserve">Čerpání rozpočtu od zřizovatele k </t>
  </si>
  <si>
    <t>Pokladna</t>
  </si>
  <si>
    <t>Vybráno od žáků</t>
  </si>
  <si>
    <t>518.70</t>
  </si>
  <si>
    <t>Náklady hrazeny žáky</t>
  </si>
  <si>
    <t>Nevyčerpaná dotace</t>
  </si>
  <si>
    <t>672.10</t>
  </si>
  <si>
    <t>669.10</t>
  </si>
  <si>
    <t>547.10</t>
  </si>
  <si>
    <t>542.10</t>
  </si>
  <si>
    <t>Jiné pokuty a penále</t>
  </si>
  <si>
    <t>Zničené potraviny</t>
  </si>
  <si>
    <t>501.21 - pracovní oděvy</t>
  </si>
  <si>
    <t>672.11</t>
  </si>
  <si>
    <t>672.20</t>
  </si>
  <si>
    <t>Krytí obecní dotace</t>
  </si>
  <si>
    <t>672.</t>
  </si>
  <si>
    <t>558.</t>
  </si>
  <si>
    <t>521.20 - OPPP ostatní</t>
  </si>
  <si>
    <t>521.10</t>
  </si>
  <si>
    <t>Mzdové náklady obec</t>
  </si>
  <si>
    <t>521.11 - Platy SR</t>
  </si>
  <si>
    <t>602.310</t>
  </si>
  <si>
    <t>Vyúčtování obědů zaměstnanců k</t>
  </si>
  <si>
    <t>Materiál na skladě</t>
  </si>
  <si>
    <t>518.</t>
  </si>
  <si>
    <t>518.91 - programy</t>
  </si>
  <si>
    <t xml:space="preserve">OPPP </t>
  </si>
  <si>
    <t>HV ve schvalovacím řízení</t>
  </si>
  <si>
    <t xml:space="preserve">Vyúčtování dotace od OÚ Roztoky k </t>
  </si>
  <si>
    <t>SP a ZP obec</t>
  </si>
  <si>
    <t>524.</t>
  </si>
  <si>
    <t>Dotace ESF</t>
  </si>
  <si>
    <t>521.30</t>
  </si>
  <si>
    <t>518.35</t>
  </si>
  <si>
    <t>Jiné sociální náklady</t>
  </si>
  <si>
    <t>Ostatní výnosy</t>
  </si>
  <si>
    <t>501.40</t>
  </si>
  <si>
    <t>Učební pomůcky</t>
  </si>
  <si>
    <t>Dodavatelé, vč. časového rozlišení</t>
  </si>
  <si>
    <t>518.80</t>
  </si>
  <si>
    <t>Bankovní poplatky</t>
  </si>
  <si>
    <t>518.93</t>
  </si>
  <si>
    <t>Programy</t>
  </si>
  <si>
    <t>Výnosy celkem</t>
  </si>
  <si>
    <t>Příspěvek zřizovatele</t>
  </si>
  <si>
    <t>Ostatní dotace</t>
  </si>
  <si>
    <t>Zapojení fondů do výnosů</t>
  </si>
  <si>
    <t>6.</t>
  </si>
  <si>
    <t>Náklady celkem</t>
  </si>
  <si>
    <t>501.</t>
  </si>
  <si>
    <t>Spotřeba materiálu</t>
  </si>
  <si>
    <t>511.</t>
  </si>
  <si>
    <t>512.</t>
  </si>
  <si>
    <t>521.</t>
  </si>
  <si>
    <t>Zákonné sociální pojištění</t>
  </si>
  <si>
    <t>525.</t>
  </si>
  <si>
    <t>Jiné sociální pojištění</t>
  </si>
  <si>
    <t>527.</t>
  </si>
  <si>
    <t>Zákonné sociální náklady</t>
  </si>
  <si>
    <t>528.</t>
  </si>
  <si>
    <t>551.</t>
  </si>
  <si>
    <t>518.61 - Ostatní služby</t>
  </si>
  <si>
    <t>518.41</t>
  </si>
  <si>
    <t>Účetní služby</t>
  </si>
  <si>
    <t>558.40</t>
  </si>
  <si>
    <t>Náklady DHM</t>
  </si>
  <si>
    <t>524.13</t>
  </si>
  <si>
    <t>524.23</t>
  </si>
  <si>
    <t>Ušetřeno odvody</t>
  </si>
  <si>
    <t>DKP</t>
  </si>
  <si>
    <t>528.30</t>
  </si>
  <si>
    <t xml:space="preserve">Jiné sociální náklady </t>
  </si>
  <si>
    <t>Dotace SRPDŠ, ostatní</t>
  </si>
  <si>
    <t>Dotace ze SRPDŠ, ost.</t>
  </si>
  <si>
    <t>501.24</t>
  </si>
  <si>
    <t>Zůstatek dotace SRPDŠ, ostatních</t>
  </si>
  <si>
    <t>skutečnost</t>
  </si>
  <si>
    <t>649.10</t>
  </si>
  <si>
    <t>501.210</t>
  </si>
  <si>
    <t xml:space="preserve">Ostatní výnosy </t>
  </si>
  <si>
    <t>558.11 - Náklady DDHIM</t>
  </si>
  <si>
    <t>rozpočet</t>
  </si>
  <si>
    <t>odvody</t>
  </si>
  <si>
    <t>zbytek</t>
  </si>
  <si>
    <t>odvodů</t>
  </si>
  <si>
    <t>558.30</t>
  </si>
  <si>
    <t>DDHIM</t>
  </si>
  <si>
    <t>518.610</t>
  </si>
  <si>
    <t>Provozní dotace státní rozpočet</t>
  </si>
  <si>
    <t xml:space="preserve">Čerpání rozpočtu celkového k </t>
  </si>
  <si>
    <t>Návrh rozpočtu na rok 2021</t>
  </si>
  <si>
    <t>646.10</t>
  </si>
  <si>
    <t>Výnosy z prodeje HM</t>
  </si>
  <si>
    <t>542.</t>
  </si>
  <si>
    <t xml:space="preserve">542. </t>
  </si>
  <si>
    <t>Dotace celkem</t>
  </si>
  <si>
    <t xml:space="preserve">Platy </t>
  </si>
  <si>
    <t>501.600</t>
  </si>
  <si>
    <t>Drogistické potřeby</t>
  </si>
  <si>
    <t>527.20</t>
  </si>
  <si>
    <t>Zákonné soc. náklady</t>
  </si>
  <si>
    <t>501.80</t>
  </si>
  <si>
    <t>SM - roušky, testy</t>
  </si>
  <si>
    <t>Převod z účtu FKSP na běžný</t>
  </si>
  <si>
    <t>649.</t>
  </si>
  <si>
    <t>Zůstatek dotace na stravné</t>
  </si>
  <si>
    <t>518.90</t>
  </si>
  <si>
    <t>vč. peněz na cestě</t>
  </si>
  <si>
    <t>569.</t>
  </si>
  <si>
    <t>569.30</t>
  </si>
  <si>
    <t>Ostatní fin. náklady</t>
  </si>
  <si>
    <t>Ostatní finanční náklady</t>
  </si>
  <si>
    <t>Přijaté stravné, vč. úspory</t>
  </si>
  <si>
    <t>Rozpočet na rok 2022</t>
  </si>
  <si>
    <t>Poslední upravený rozpočet na rok 2022</t>
  </si>
  <si>
    <t>Aktuální skutečnost rok 2022</t>
  </si>
  <si>
    <t>Schválený rozpočet na rok 2022 - obec, vč. školného</t>
  </si>
  <si>
    <t>Schválený rozpočet na rok 2022 - SR</t>
  </si>
  <si>
    <t>Schválený rozpočet na rok 2022 - SRPDŠ, jiné dotace</t>
  </si>
  <si>
    <t>Aktuální  skutečnost rok 2022</t>
  </si>
  <si>
    <t>Schválený rozpočet na rok 2022 - stravné, CS</t>
  </si>
  <si>
    <t>Rozpočtová změna č. 1 ze dne 31.1.2022</t>
  </si>
  <si>
    <t>pol. č. 1</t>
  </si>
  <si>
    <t>V rámci rozpočtu od zřizovatele navýšení účtu 648. Čerpání fondů a účtu 527. Zákonné sociální náklady o částku 10 000,-- Kč</t>
  </si>
  <si>
    <t>Úprava rozpočtu ESF (Šablony III) - převod skutečného zůstatku do roku 2022 ve výši 266 238,64 Kč a tím upraveno i jeho čerpání.</t>
  </si>
  <si>
    <t>521.21 - OPPP ÚZ33086</t>
  </si>
  <si>
    <t>ÚZ33086</t>
  </si>
  <si>
    <t>ÚZ 33087</t>
  </si>
  <si>
    <t>ÚZ 33088</t>
  </si>
  <si>
    <t>Rozpočtová změna č. 2 ze dne 30.4.2022</t>
  </si>
  <si>
    <t>V rámci rozpočtu od zřizovatele navýšení účtu 648. Čerpání fondů a účtu 558. Náklady z DHIM o částku 10 000,-- Kč</t>
  </si>
  <si>
    <t>Rozpočtová změna č. 3 ze dne 31.5.2022</t>
  </si>
  <si>
    <t>V rámci státního rozpočtu převod z účtu 501. Spotřeba materiálu na účet 518. Ostatní služby částky 10 000,-- Kč</t>
  </si>
  <si>
    <t>Rozpočtová změna č. 4 ze dne 30.6.2022</t>
  </si>
  <si>
    <t>V rámci státního rozpočtu převod z účtu 521. Mzdové náklady na účet 558. Náklady z DHIM částky 50 000,-- Kč</t>
  </si>
  <si>
    <t>pol. č. 2</t>
  </si>
  <si>
    <t>V rámci rozpočtu od zřizovatele navýšení účtu 648. Čerpání fondů a účtu 558. Náklady z DHIM o částku 90 000,-- Kč</t>
  </si>
  <si>
    <t>pol. č. 3</t>
  </si>
  <si>
    <t>V rámci rozpočtu Šablony III převod z účtu 521. Mzdové náklady na účet 501. Spotřeba materiálu částky 20 000,-- Kč</t>
  </si>
  <si>
    <t>Rozpočtová změna č. 5 ze dne 31.7.2022</t>
  </si>
  <si>
    <t>V rámci státního rozpočtu převod z účtu 521. Mzdové náklady na účet 518. Ostatní služby částky 30 000,-- Kč</t>
  </si>
  <si>
    <t>V rámci rozpočtu Šablony III převod z účtu 521. Mzdové náklady na účet 501. Spotřeba materiálu částky 10 000,-- Kč a z účtu 521. Mzdové náklady na účet 518. Ostatní služby částky 10 000,-- Kč</t>
  </si>
  <si>
    <t>Rozpočtová změna č. 6 ze dne 31.8.2022</t>
  </si>
  <si>
    <t>V rámci rozpočtu Šablony III převody na účet 558. Náklady z DHIM:</t>
  </si>
  <si>
    <t>z účtu 501. Spotřeba materiálu částky 4 729,64 Kč</t>
  </si>
  <si>
    <t>z účtu 521. Mzdové náklady částky 15 760,-- Kč</t>
  </si>
  <si>
    <t>z účtu 518. Ostatní služby částky 7 131,-- Kč</t>
  </si>
  <si>
    <t>z účtu 524. Zákonné sociální pojištění částky 10 583,-- Kč</t>
  </si>
  <si>
    <t>Odběratelé</t>
  </si>
  <si>
    <t xml:space="preserve">Vyúčtování 3. ESF k </t>
  </si>
  <si>
    <t>Rozpočtová změna č. 7 ze dne 30.9.2022</t>
  </si>
  <si>
    <t>Z důvodu přijetí nových Šalobn - Výzva 02 navýšení účtů:</t>
  </si>
  <si>
    <t>672. Výnosy územních rozpočtů o částku 56 000,-- Kč</t>
  </si>
  <si>
    <t>518. Ostatní služby o částku 19 264,-- Kč</t>
  </si>
  <si>
    <t>521. Mzdové náklady o částku 27 456,-- Kč</t>
  </si>
  <si>
    <t>524. Zákonné sociální pojištění o částku 9 280,-- Kč</t>
  </si>
  <si>
    <t>Z důvodu použití investičního fondu na krytí oprav odepisovaného majetku navýšení účtů:</t>
  </si>
  <si>
    <t>511. Opravy a udrožování o částku 10 000,-- Kč</t>
  </si>
  <si>
    <t>648. Čerpání fondů o částku 10 000,-- Kč</t>
  </si>
  <si>
    <t>Schválený rozpočet na rok 2022 - ESF, OP JAK</t>
  </si>
  <si>
    <t>Rozpočtová změna č. 8 ze dne 31.10.2022</t>
  </si>
  <si>
    <t>V rámnci rozpočtu od zřizovatele navýšení tř. 6. Ostatní výnosy a účtu 518. Ostatní služby o částku 30 000,-- Kč</t>
  </si>
  <si>
    <t>V rámci rozpočtu SR převod z účtu 521. Mzdové náklady na účet 528.Ostatní sociální náklady částky 25 000,-- Kč</t>
  </si>
  <si>
    <t>V rámci rozpočtu Potraviny, Stravné školy navýšení tř. 6. Ostatní výnosy a účtu 501. Spotřeba materiálu o částku 70 000,-- Kč</t>
  </si>
  <si>
    <t>Zboží na cestě</t>
  </si>
  <si>
    <t>Zůstatek dotace - OP JAK</t>
  </si>
  <si>
    <t xml:space="preserve">Vyúčtování OP JAK k </t>
  </si>
  <si>
    <t>Rozpočtová změna č. 9 ze dne 30.11.2022</t>
  </si>
  <si>
    <t>V rámnci rozpočtu od zřizovatele převod z účtu 501. Spotřeba materiálu na účet 518. Ostatní služby částky 100 000,--, převod z účtu 501. Spotřeba materiálu na účet 569. Ostatní finanční náklady částky 1 000,-- Kč</t>
  </si>
  <si>
    <t>V rámci rozpočtu SR převod z účtu 521. Mzdové náklady na účet 558. Náklady z DHIM částky 50 000,-- Kč</t>
  </si>
  <si>
    <t>V rámci rozpočtu Potraviny, Stravné školy navýšení tř. 6. Ostatní výnosy a účtu 501. Spotřeba materiálu o částku 110 000,-- Kč</t>
  </si>
  <si>
    <t>pol. č. 4</t>
  </si>
  <si>
    <t>V rámci rozpočtu OP JAK převod z účtu 518. Ostatní služby na účet 528. Jiné sociální náklady částky 1 500,-- Kč</t>
  </si>
  <si>
    <t>Zůstatek k 31.12.2022</t>
  </si>
  <si>
    <t>Mzdové náklady 12/22</t>
  </si>
  <si>
    <t>vzhledem k upravenému rozpočtu k 5.12.2022</t>
  </si>
  <si>
    <t>Vyúčtování k 31.12.2022</t>
  </si>
  <si>
    <t>Časové rozlišení covid testů</t>
  </si>
  <si>
    <t>Rozpočtová změna č. 10 ze dne 31.12.2022</t>
  </si>
  <si>
    <t>V rámnci rozpočtu od zřizovatele navýšení tř. 6. Ostatní výnosy a účtu 501. Spotřeba materiálu o částku 2 000,-- Kč</t>
  </si>
  <si>
    <t>V rámci rozpočtu OP JAK převod z účtu 524. Zákonné sociální pojištění na účet 528., Ostatní sociální náklady částky 17,-- Kč, z účtu 524. Zákonné sociální pojištění na účet 521. Mzdové náklady částky 1 036,-- Kč</t>
  </si>
  <si>
    <t>V rámci rozpočtu OP JAK navýšení účtu 672. Výnosy územních rozpočtů o částku 52 374,-- Kč a v nákladech:</t>
  </si>
  <si>
    <t>518., Ostatní služby částky 52 130,-- Kč</t>
  </si>
  <si>
    <t>521. Mzdové náklady částky  244,-- Kč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</si>
</sst>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5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57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0" fillId="2" borderId="2" xfId="0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4" xfId="0" applyFill="1" applyBorder="1"/>
    <xf numFmtId="164" fontId="0" fillId="2" borderId="5" xfId="0" applyNumberFormat="1" applyFill="1" applyBorder="1"/>
    <xf numFmtId="0" fontId="0" fillId="3" borderId="4" xfId="0" applyFill="1" applyBorder="1"/>
    <xf numFmtId="164" fontId="0" fillId="3" borderId="5" xfId="0" applyNumberFormat="1" applyFill="1" applyBorder="1"/>
    <xf numFmtId="0" fontId="0" fillId="4" borderId="2" xfId="0" applyFill="1" applyBorder="1"/>
    <xf numFmtId="164" fontId="0" fillId="4" borderId="0" xfId="0" applyNumberFormat="1" applyFill="1" applyBorder="1"/>
    <xf numFmtId="0" fontId="0" fillId="4" borderId="4" xfId="0" applyFill="1" applyBorder="1"/>
    <xf numFmtId="164" fontId="0" fillId="4" borderId="5" xfId="0" applyNumberFormat="1" applyFill="1" applyBorder="1"/>
    <xf numFmtId="164" fontId="0" fillId="4" borderId="6" xfId="0" applyNumberFormat="1" applyFill="1" applyBorder="1"/>
    <xf numFmtId="164" fontId="4" fillId="4" borderId="3" xfId="0" applyNumberFormat="1" applyFont="1" applyFill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4" borderId="11" xfId="0" applyFill="1" applyBorder="1"/>
    <xf numFmtId="164" fontId="0" fillId="4" borderId="12" xfId="0" applyNumberFormat="1" applyFill="1" applyBorder="1"/>
    <xf numFmtId="164" fontId="4" fillId="4" borderId="13" xfId="0" applyNumberFormat="1" applyFont="1" applyFill="1" applyBorder="1"/>
    <xf numFmtId="164" fontId="4" fillId="4" borderId="5" xfId="0" applyNumberFormat="1" applyFont="1" applyFill="1" applyBorder="1"/>
    <xf numFmtId="0" fontId="0" fillId="0" borderId="14" xfId="0" applyBorder="1"/>
    <xf numFmtId="0" fontId="0" fillId="0" borderId="14" xfId="0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" fontId="0" fillId="0" borderId="0" xfId="0" applyNumberFormat="1" applyAlignment="1"/>
    <xf numFmtId="164" fontId="0" fillId="0" borderId="0" xfId="0" applyNumberFormat="1" applyBorder="1"/>
    <xf numFmtId="4" fontId="0" fillId="0" borderId="0" xfId="0" applyNumberFormat="1"/>
    <xf numFmtId="4" fontId="0" fillId="0" borderId="14" xfId="0" applyNumberFormat="1" applyBorder="1"/>
    <xf numFmtId="4" fontId="2" fillId="0" borderId="0" xfId="0" applyNumberFormat="1" applyFont="1"/>
    <xf numFmtId="164" fontId="7" fillId="4" borderId="3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4" fontId="8" fillId="0" borderId="9" xfId="0" applyNumberFormat="1" applyFont="1" applyBorder="1"/>
    <xf numFmtId="4" fontId="9" fillId="0" borderId="0" xfId="0" applyNumberFormat="1" applyFont="1"/>
    <xf numFmtId="0" fontId="2" fillId="0" borderId="14" xfId="0" applyFont="1" applyBorder="1"/>
    <xf numFmtId="4" fontId="0" fillId="0" borderId="14" xfId="0" applyNumberFormat="1" applyBorder="1" applyAlignment="1">
      <alignment horizontal="right"/>
    </xf>
    <xf numFmtId="4" fontId="0" fillId="0" borderId="0" xfId="0" applyNumberFormat="1" applyBorder="1"/>
    <xf numFmtId="164" fontId="0" fillId="4" borderId="14" xfId="0" applyNumberFormat="1" applyFill="1" applyBorder="1"/>
    <xf numFmtId="164" fontId="4" fillId="4" borderId="15" xfId="0" applyNumberFormat="1" applyFont="1" applyFill="1" applyBorder="1"/>
    <xf numFmtId="4" fontId="2" fillId="0" borderId="7" xfId="0" applyNumberFormat="1" applyFont="1" applyBorder="1"/>
    <xf numFmtId="4" fontId="2" fillId="0" borderId="0" xfId="0" applyNumberFormat="1" applyFont="1" applyBorder="1"/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" fontId="2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Fill="1" applyBorder="1"/>
    <xf numFmtId="0" fontId="6" fillId="0" borderId="18" xfId="0" applyFont="1" applyBorder="1"/>
    <xf numFmtId="0" fontId="6" fillId="0" borderId="19" xfId="0" applyFont="1" applyBorder="1"/>
    <xf numFmtId="4" fontId="6" fillId="0" borderId="19" xfId="0" applyNumberFormat="1" applyFont="1" applyBorder="1"/>
    <xf numFmtId="14" fontId="10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2" borderId="2" xfId="0" applyFont="1" applyFill="1" applyBorder="1"/>
    <xf numFmtId="0" fontId="2" fillId="4" borderId="2" xfId="0" applyFont="1" applyFill="1" applyBorder="1"/>
    <xf numFmtId="164" fontId="6" fillId="2" borderId="3" xfId="0" applyNumberFormat="1" applyFont="1" applyFill="1" applyBorder="1"/>
    <xf numFmtId="0" fontId="3" fillId="0" borderId="0" xfId="0" applyFont="1"/>
    <xf numFmtId="4" fontId="3" fillId="0" borderId="0" xfId="0" applyNumberFormat="1" applyFont="1"/>
    <xf numFmtId="0" fontId="6" fillId="0" borderId="0" xfId="0" applyFont="1" applyFill="1"/>
    <xf numFmtId="0" fontId="0" fillId="4" borderId="0" xfId="0" applyFill="1" applyBorder="1"/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20" xfId="0" applyFont="1" applyBorder="1"/>
    <xf numFmtId="0" fontId="6" fillId="0" borderId="21" xfId="0" applyFont="1" applyBorder="1"/>
    <xf numFmtId="4" fontId="6" fillId="0" borderId="21" xfId="0" applyNumberFormat="1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0" fontId="6" fillId="0" borderId="24" xfId="0" applyFont="1" applyBorder="1"/>
    <xf numFmtId="0" fontId="6" fillId="0" borderId="25" xfId="0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4" fontId="6" fillId="0" borderId="27" xfId="0" applyNumberFormat="1" applyFont="1" applyBorder="1"/>
    <xf numFmtId="0" fontId="6" fillId="0" borderId="28" xfId="0" applyFont="1" applyBorder="1"/>
    <xf numFmtId="0" fontId="6" fillId="0" borderId="29" xfId="0" applyFont="1" applyBorder="1"/>
    <xf numFmtId="4" fontId="6" fillId="0" borderId="29" xfId="0" applyNumberFormat="1" applyFont="1" applyBorder="1"/>
    <xf numFmtId="4" fontId="6" fillId="0" borderId="30" xfId="0" applyNumberFormat="1" applyFont="1" applyBorder="1"/>
    <xf numFmtId="4" fontId="6" fillId="0" borderId="31" xfId="0" applyNumberFormat="1" applyFont="1" applyBorder="1"/>
    <xf numFmtId="4" fontId="6" fillId="0" borderId="32" xfId="0" applyNumberFormat="1" applyFont="1" applyBorder="1"/>
    <xf numFmtId="4" fontId="6" fillId="0" borderId="33" xfId="0" applyNumberFormat="1" applyFont="1" applyBorder="1"/>
    <xf numFmtId="0" fontId="6" fillId="0" borderId="34" xfId="0" applyFont="1" applyBorder="1"/>
    <xf numFmtId="0" fontId="6" fillId="0" borderId="35" xfId="0" applyFont="1" applyBorder="1"/>
    <xf numFmtId="4" fontId="6" fillId="0" borderId="35" xfId="0" applyNumberFormat="1" applyFont="1" applyBorder="1"/>
    <xf numFmtId="0" fontId="6" fillId="0" borderId="36" xfId="0" applyFont="1" applyBorder="1"/>
    <xf numFmtId="0" fontId="6" fillId="0" borderId="37" xfId="0" applyFont="1" applyBorder="1"/>
    <xf numFmtId="4" fontId="6" fillId="0" borderId="37" xfId="0" applyNumberFormat="1" applyFont="1" applyBorder="1"/>
    <xf numFmtId="4" fontId="6" fillId="0" borderId="0" xfId="0" applyNumberFormat="1" applyFont="1"/>
    <xf numFmtId="0" fontId="6" fillId="0" borderId="7" xfId="0" applyFont="1" applyBorder="1"/>
    <xf numFmtId="4" fontId="6" fillId="0" borderId="7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2" fillId="0" borderId="38" xfId="0" applyNumberFormat="1" applyFont="1" applyBorder="1"/>
    <xf numFmtId="0" fontId="2" fillId="0" borderId="39" xfId="0" applyFont="1" applyBorder="1"/>
    <xf numFmtId="4" fontId="2" fillId="0" borderId="39" xfId="0" applyNumberFormat="1" applyFont="1" applyBorder="1"/>
    <xf numFmtId="4" fontId="2" fillId="0" borderId="40" xfId="0" applyNumberFormat="1" applyFont="1" applyBorder="1"/>
    <xf numFmtId="2" fontId="6" fillId="0" borderId="0" xfId="0" applyNumberFormat="1" applyFont="1"/>
    <xf numFmtId="14" fontId="5" fillId="0" borderId="6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41" xfId="0" applyFont="1" applyBorder="1"/>
    <xf numFmtId="164" fontId="6" fillId="0" borderId="41" xfId="0" applyNumberFormat="1" applyFont="1" applyBorder="1"/>
    <xf numFmtId="164" fontId="6" fillId="0" borderId="3" xfId="0" applyNumberFormat="1" applyFont="1" applyBorder="1"/>
    <xf numFmtId="0" fontId="6" fillId="0" borderId="42" xfId="0" applyFont="1" applyBorder="1"/>
    <xf numFmtId="0" fontId="6" fillId="0" borderId="43" xfId="0" applyFont="1" applyBorder="1"/>
    <xf numFmtId="164" fontId="6" fillId="0" borderId="44" xfId="0" applyNumberFormat="1" applyFont="1" applyBorder="1"/>
    <xf numFmtId="0" fontId="6" fillId="0" borderId="4" xfId="0" applyFont="1" applyBorder="1"/>
    <xf numFmtId="164" fontId="6" fillId="0" borderId="35" xfId="0" applyNumberFormat="1" applyFont="1" applyBorder="1"/>
    <xf numFmtId="164" fontId="6" fillId="0" borderId="5" xfId="0" applyNumberFormat="1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42" xfId="0" applyFont="1" applyFill="1" applyBorder="1"/>
    <xf numFmtId="0" fontId="6" fillId="0" borderId="43" xfId="0" applyFont="1" applyFill="1" applyBorder="1"/>
    <xf numFmtId="164" fontId="6" fillId="0" borderId="44" xfId="0" applyNumberFormat="1" applyFont="1" applyFill="1" applyBorder="1"/>
    <xf numFmtId="0" fontId="6" fillId="0" borderId="4" xfId="0" applyFont="1" applyFill="1" applyBorder="1"/>
    <xf numFmtId="0" fontId="6" fillId="0" borderId="35" xfId="0" applyFont="1" applyFill="1" applyBorder="1"/>
    <xf numFmtId="164" fontId="6" fillId="0" borderId="45" xfId="0" applyNumberFormat="1" applyFont="1" applyBorder="1"/>
    <xf numFmtId="164" fontId="6" fillId="0" borderId="5" xfId="0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4" fontId="6" fillId="0" borderId="52" xfId="0" applyNumberFormat="1" applyFont="1" applyBorder="1"/>
    <xf numFmtId="164" fontId="6" fillId="0" borderId="43" xfId="0" applyNumberFormat="1" applyFont="1" applyBorder="1"/>
    <xf numFmtId="0" fontId="6" fillId="0" borderId="0" xfId="0" applyFont="1" applyAlignment="1">
      <alignment horizontal="right"/>
    </xf>
    <xf numFmtId="164" fontId="7" fillId="4" borderId="0" xfId="0" applyNumberFormat="1" applyFont="1" applyFill="1" applyBorder="1"/>
    <xf numFmtId="4" fontId="6" fillId="0" borderId="53" xfId="0" applyNumberFormat="1" applyFont="1" applyBorder="1"/>
    <xf numFmtId="0" fontId="5" fillId="0" borderId="0" xfId="0" applyFont="1" applyBorder="1" applyAlignment="1"/>
    <xf numFmtId="14" fontId="5" fillId="0" borderId="0" xfId="0" applyNumberFormat="1" applyFont="1" applyBorder="1" applyAlignment="1">
      <alignment horizontal="left"/>
    </xf>
    <xf numFmtId="0" fontId="2" fillId="0" borderId="46" xfId="0" applyFont="1" applyBorder="1"/>
    <xf numFmtId="0" fontId="2" fillId="0" borderId="54" xfId="0" applyFont="1" applyBorder="1"/>
    <xf numFmtId="4" fontId="2" fillId="0" borderId="55" xfId="0" applyNumberFormat="1" applyFont="1" applyBorder="1" applyAlignment="1">
      <alignment horizontal="right"/>
    </xf>
    <xf numFmtId="0" fontId="6" fillId="0" borderId="56" xfId="0" applyFont="1" applyBorder="1"/>
    <xf numFmtId="4" fontId="6" fillId="0" borderId="57" xfId="0" applyNumberFormat="1" applyFont="1" applyBorder="1"/>
    <xf numFmtId="4" fontId="2" fillId="0" borderId="55" xfId="0" applyNumberFormat="1" applyFont="1" applyBorder="1"/>
    <xf numFmtId="4" fontId="6" fillId="0" borderId="58" xfId="0" applyNumberFormat="1" applyFont="1" applyBorder="1"/>
    <xf numFmtId="0" fontId="6" fillId="0" borderId="59" xfId="0" applyFont="1" applyBorder="1"/>
    <xf numFmtId="4" fontId="6" fillId="0" borderId="60" xfId="0" applyNumberFormat="1" applyFont="1" applyBorder="1"/>
    <xf numFmtId="0" fontId="6" fillId="0" borderId="61" xfId="0" applyFont="1" applyBorder="1"/>
    <xf numFmtId="0" fontId="6" fillId="4" borderId="2" xfId="0" applyFont="1" applyFill="1" applyBorder="1"/>
    <xf numFmtId="164" fontId="6" fillId="0" borderId="14" xfId="0" applyNumberFormat="1" applyFont="1" applyBorder="1"/>
    <xf numFmtId="0" fontId="2" fillId="0" borderId="62" xfId="0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63" xfId="0" applyFont="1" applyFill="1" applyBorder="1"/>
    <xf numFmtId="0" fontId="6" fillId="0" borderId="39" xfId="0" applyFont="1" applyBorder="1"/>
    <xf numFmtId="0" fontId="6" fillId="0" borderId="39" xfId="0" applyFont="1" applyFill="1" applyBorder="1"/>
    <xf numFmtId="4" fontId="6" fillId="0" borderId="40" xfId="0" applyNumberFormat="1" applyFont="1" applyBorder="1"/>
    <xf numFmtId="164" fontId="13" fillId="0" borderId="14" xfId="0" applyNumberFormat="1" applyFont="1" applyBorder="1"/>
    <xf numFmtId="4" fontId="13" fillId="0" borderId="14" xfId="0" applyNumberFormat="1" applyFont="1" applyBorder="1" applyAlignment="1">
      <alignment horizontal="right"/>
    </xf>
    <xf numFmtId="4" fontId="13" fillId="0" borderId="0" xfId="0" applyNumberFormat="1" applyFont="1" applyFill="1" applyAlignment="1">
      <alignment horizontal="right"/>
    </xf>
    <xf numFmtId="164" fontId="13" fillId="0" borderId="0" xfId="0" applyNumberFormat="1" applyFont="1"/>
    <xf numFmtId="4" fontId="14" fillId="0" borderId="0" xfId="0" applyNumberFormat="1" applyFont="1" applyBorder="1" applyAlignment="1">
      <alignment horizontal="right"/>
    </xf>
    <xf numFmtId="164" fontId="6" fillId="3" borderId="6" xfId="0" applyNumberFormat="1" applyFont="1" applyFill="1" applyBorder="1"/>
    <xf numFmtId="0" fontId="13" fillId="0" borderId="0" xfId="0" applyFont="1"/>
    <xf numFmtId="4" fontId="13" fillId="0" borderId="0" xfId="0" applyNumberFormat="1" applyFont="1"/>
    <xf numFmtId="164" fontId="6" fillId="0" borderId="3" xfId="0" applyNumberFormat="1" applyFont="1" applyBorder="1" applyAlignment="1">
      <alignment horizontal="center"/>
    </xf>
    <xf numFmtId="0" fontId="6" fillId="4" borderId="64" xfId="0" applyFont="1" applyFill="1" applyBorder="1"/>
    <xf numFmtId="2" fontId="13" fillId="0" borderId="0" xfId="0" applyNumberFormat="1" applyFont="1"/>
    <xf numFmtId="0" fontId="6" fillId="0" borderId="0" xfId="0" applyFont="1" applyAlignment="1"/>
    <xf numFmtId="14" fontId="10" fillId="0" borderId="0" xfId="0" applyNumberFormat="1" applyFont="1" applyAlignment="1"/>
    <xf numFmtId="3" fontId="13" fillId="0" borderId="0" xfId="0" applyNumberFormat="1" applyFont="1"/>
    <xf numFmtId="4" fontId="13" fillId="0" borderId="0" xfId="0" applyNumberFormat="1" applyFont="1" applyAlignment="1">
      <alignment horizontal="right"/>
    </xf>
    <xf numFmtId="1" fontId="13" fillId="0" borderId="0" xfId="0" applyNumberFormat="1" applyFont="1"/>
    <xf numFmtId="0" fontId="6" fillId="2" borderId="2" xfId="0" applyFont="1" applyFill="1" applyBorder="1"/>
    <xf numFmtId="0" fontId="12" fillId="0" borderId="0" xfId="0" applyFont="1"/>
    <xf numFmtId="4" fontId="6" fillId="0" borderId="0" xfId="0" applyNumberFormat="1" applyFont="1" applyBorder="1"/>
    <xf numFmtId="4" fontId="6" fillId="0" borderId="65" xfId="0" applyNumberFormat="1" applyFont="1" applyBorder="1"/>
    <xf numFmtId="4" fontId="6" fillId="0" borderId="66" xfId="0" applyNumberFormat="1" applyFont="1" applyBorder="1"/>
    <xf numFmtId="0" fontId="6" fillId="0" borderId="67" xfId="0" applyFont="1" applyBorder="1"/>
    <xf numFmtId="0" fontId="6" fillId="0" borderId="68" xfId="0" applyFont="1" applyBorder="1"/>
    <xf numFmtId="4" fontId="6" fillId="0" borderId="69" xfId="0" applyNumberFormat="1" applyFont="1" applyBorder="1"/>
    <xf numFmtId="0" fontId="6" fillId="0" borderId="70" xfId="0" applyFont="1" applyBorder="1"/>
    <xf numFmtId="4" fontId="6" fillId="0" borderId="71" xfId="0" applyNumberFormat="1" applyFont="1" applyBorder="1"/>
    <xf numFmtId="4" fontId="6" fillId="0" borderId="72" xfId="0" applyNumberFormat="1" applyFont="1" applyBorder="1"/>
    <xf numFmtId="4" fontId="6" fillId="0" borderId="73" xfId="0" applyNumberFormat="1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zoomScaleNormal="100" workbookViewId="0">
      <selection activeCell="B81" sqref="B81:G81"/>
    </sheetView>
  </sheetViews>
  <sheetFormatPr defaultRowHeight="12.75"/>
  <cols>
    <col min="1" max="1" width="22.140625" customWidth="1"/>
    <col min="2" max="2" width="15.7109375" bestFit="1" customWidth="1"/>
    <col min="3" max="3" width="25.42578125" customWidth="1"/>
    <col min="4" max="4" width="15.7109375" style="1" bestFit="1" customWidth="1"/>
    <col min="5" max="5" width="15.7109375" style="1" customWidth="1"/>
    <col min="6" max="6" width="15.28515625" style="158" hidden="1" customWidth="1"/>
    <col min="7" max="7" width="14.7109375" style="162" hidden="1" customWidth="1"/>
    <col min="8" max="8" width="18.7109375" style="162" hidden="1" customWidth="1"/>
    <col min="9" max="9" width="9.140625" style="162" customWidth="1"/>
    <col min="10" max="11" width="14.7109375" style="162" bestFit="1" customWidth="1"/>
    <col min="12" max="14" width="9.140625" style="162"/>
  </cols>
  <sheetData>
    <row r="1" spans="1:11" ht="15">
      <c r="A1" s="186" t="s">
        <v>260</v>
      </c>
      <c r="B1" s="186"/>
      <c r="C1" s="186"/>
      <c r="D1" s="186"/>
      <c r="E1" s="186"/>
    </row>
    <row r="2" spans="1:11" ht="15">
      <c r="A2" s="186" t="s">
        <v>259</v>
      </c>
      <c r="B2" s="186"/>
      <c r="C2" s="186"/>
      <c r="D2" s="186"/>
      <c r="E2" s="186"/>
    </row>
    <row r="4" spans="1:11" ht="13.5" thickBot="1"/>
    <row r="5" spans="1:11" ht="13.5" thickBot="1">
      <c r="A5" s="4" t="s">
        <v>0</v>
      </c>
      <c r="B5" s="19" t="s">
        <v>1</v>
      </c>
      <c r="C5" s="4" t="s">
        <v>4</v>
      </c>
      <c r="D5" s="20" t="s">
        <v>2</v>
      </c>
      <c r="E5" s="21" t="s">
        <v>3</v>
      </c>
      <c r="F5" s="158" t="s">
        <v>165</v>
      </c>
      <c r="G5" s="162" t="s">
        <v>160</v>
      </c>
      <c r="H5" s="162" t="s">
        <v>167</v>
      </c>
    </row>
    <row r="6" spans="1:11" ht="14.25" thickTop="1" thickBot="1">
      <c r="A6" s="10" t="s">
        <v>179</v>
      </c>
      <c r="B6" s="11">
        <f>SUM(B7:B18)</f>
        <v>10271483</v>
      </c>
      <c r="C6" s="10" t="s">
        <v>96</v>
      </c>
      <c r="D6" s="161">
        <v>10271483</v>
      </c>
      <c r="E6" s="11"/>
      <c r="F6" s="158" t="s">
        <v>166</v>
      </c>
      <c r="G6" s="166" t="s">
        <v>166</v>
      </c>
      <c r="H6" s="159" t="s">
        <v>168</v>
      </c>
    </row>
    <row r="7" spans="1:11">
      <c r="A7" s="172" t="s">
        <v>180</v>
      </c>
      <c r="B7" s="6">
        <f>7116751+195815-23091</f>
        <v>7289475</v>
      </c>
      <c r="C7" s="5" t="s">
        <v>104</v>
      </c>
      <c r="D7" s="7"/>
      <c r="E7" s="6">
        <v>7289475</v>
      </c>
      <c r="F7" s="158">
        <f>E7</f>
        <v>7289475</v>
      </c>
      <c r="G7" s="159"/>
      <c r="H7" s="170">
        <f>B7+B8-E7</f>
        <v>74100</v>
      </c>
    </row>
    <row r="8" spans="1:11">
      <c r="A8" s="5" t="s">
        <v>110</v>
      </c>
      <c r="B8" s="6">
        <f>58100+15000+1000</f>
        <v>74100</v>
      </c>
      <c r="C8" s="5" t="s">
        <v>101</v>
      </c>
      <c r="D8" s="7"/>
      <c r="E8" s="6">
        <v>74100</v>
      </c>
      <c r="F8" s="158">
        <f>E7+E8</f>
        <v>7363575</v>
      </c>
      <c r="G8" s="159"/>
      <c r="H8" s="163">
        <f>B8-E8</f>
        <v>0</v>
      </c>
    </row>
    <row r="9" spans="1:11">
      <c r="A9" s="5" t="s">
        <v>210</v>
      </c>
      <c r="B9" s="6">
        <f>11700+9300</f>
        <v>21000</v>
      </c>
      <c r="C9" s="5" t="s">
        <v>209</v>
      </c>
      <c r="D9" s="7"/>
      <c r="E9" s="6">
        <v>21000</v>
      </c>
      <c r="G9" s="169">
        <f>F8*33.8/100</f>
        <v>2488888.3499999996</v>
      </c>
      <c r="H9" s="163">
        <f>B9-E9</f>
        <v>0</v>
      </c>
      <c r="K9" s="159"/>
    </row>
    <row r="10" spans="1:11">
      <c r="A10" s="60" t="s">
        <v>5</v>
      </c>
      <c r="B10" s="62">
        <f>2425101+71256-7467</f>
        <v>2488890</v>
      </c>
      <c r="C10" s="5" t="s">
        <v>47</v>
      </c>
      <c r="D10" s="7"/>
      <c r="E10" s="6">
        <v>1824522</v>
      </c>
      <c r="G10" s="159"/>
      <c r="H10" s="163">
        <f>B10-E10-E11</f>
        <v>2265</v>
      </c>
    </row>
    <row r="11" spans="1:11">
      <c r="A11" s="5"/>
      <c r="B11" s="6"/>
      <c r="C11" s="5" t="s">
        <v>48</v>
      </c>
      <c r="D11" s="7"/>
      <c r="E11" s="6">
        <v>662103</v>
      </c>
      <c r="F11" s="158">
        <f>E10+E11</f>
        <v>2486625</v>
      </c>
      <c r="G11" s="169">
        <f>G9-F11</f>
        <v>2263.3499999996275</v>
      </c>
      <c r="H11" s="159"/>
      <c r="J11" s="163"/>
    </row>
    <row r="12" spans="1:11">
      <c r="A12" s="5" t="s">
        <v>6</v>
      </c>
      <c r="B12" s="6">
        <f>142334+3916-462</f>
        <v>145788</v>
      </c>
      <c r="C12" s="5" t="s">
        <v>74</v>
      </c>
      <c r="D12" s="7"/>
      <c r="E12" s="6">
        <v>145790</v>
      </c>
      <c r="F12" s="158">
        <f>E12</f>
        <v>145790</v>
      </c>
      <c r="G12" s="169">
        <f>F7*2/100</f>
        <v>145789.5</v>
      </c>
      <c r="H12" s="163">
        <f>B12-E12</f>
        <v>-2</v>
      </c>
      <c r="J12" s="159"/>
    </row>
    <row r="13" spans="1:11" ht="13.5" thickBot="1">
      <c r="A13" s="8"/>
      <c r="B13" s="9"/>
      <c r="C13" s="5"/>
      <c r="D13" s="7"/>
      <c r="E13" s="6"/>
      <c r="G13" s="169">
        <f>G12-F12</f>
        <v>-0.5</v>
      </c>
      <c r="H13" s="163"/>
    </row>
    <row r="14" spans="1:11">
      <c r="A14" s="12" t="s">
        <v>41</v>
      </c>
      <c r="B14" s="17">
        <f>83790+1000+1845+30020</f>
        <v>116655</v>
      </c>
      <c r="C14" s="24" t="s">
        <v>49</v>
      </c>
      <c r="D14" s="25" t="s">
        <v>8</v>
      </c>
      <c r="E14" s="26">
        <v>11379</v>
      </c>
      <c r="G14" s="163"/>
      <c r="H14" s="163"/>
    </row>
    <row r="15" spans="1:11">
      <c r="A15" s="12" t="s">
        <v>42</v>
      </c>
      <c r="B15" s="17">
        <v>18900</v>
      </c>
      <c r="C15" s="12" t="s">
        <v>95</v>
      </c>
      <c r="D15" s="13" t="s">
        <v>8</v>
      </c>
      <c r="E15" s="17">
        <v>0</v>
      </c>
    </row>
    <row r="16" spans="1:11">
      <c r="A16" s="12" t="s">
        <v>44</v>
      </c>
      <c r="B16" s="37">
        <v>6675</v>
      </c>
      <c r="C16" s="12" t="s">
        <v>50</v>
      </c>
      <c r="D16" s="13"/>
      <c r="E16" s="17">
        <v>0</v>
      </c>
    </row>
    <row r="17" spans="1:8">
      <c r="A17" s="12" t="s">
        <v>211</v>
      </c>
      <c r="B17" s="37">
        <f>32000+49000</f>
        <v>81000</v>
      </c>
      <c r="C17" s="12" t="s">
        <v>51</v>
      </c>
      <c r="D17" s="13"/>
      <c r="E17" s="17">
        <v>8880</v>
      </c>
      <c r="G17" s="166"/>
    </row>
    <row r="18" spans="1:8">
      <c r="A18" s="12" t="s">
        <v>212</v>
      </c>
      <c r="B18" s="134">
        <v>29000</v>
      </c>
      <c r="C18" s="148" t="s">
        <v>145</v>
      </c>
      <c r="D18" s="13"/>
      <c r="E18" s="17">
        <v>12500</v>
      </c>
      <c r="G18" s="166"/>
    </row>
    <row r="19" spans="1:8">
      <c r="A19" s="12"/>
      <c r="B19" s="134"/>
      <c r="C19" s="12" t="s">
        <v>109</v>
      </c>
      <c r="D19" s="13"/>
      <c r="E19" s="17">
        <v>24112</v>
      </c>
      <c r="G19" s="166"/>
    </row>
    <row r="20" spans="1:8">
      <c r="A20" s="12"/>
      <c r="B20" s="66"/>
      <c r="C20" s="12" t="s">
        <v>52</v>
      </c>
      <c r="D20" s="13"/>
      <c r="E20" s="17">
        <v>32207</v>
      </c>
      <c r="G20" s="159"/>
    </row>
    <row r="21" spans="1:8">
      <c r="A21" s="61"/>
      <c r="B21" s="17"/>
      <c r="C21" s="12" t="s">
        <v>79</v>
      </c>
      <c r="D21" s="13"/>
      <c r="E21" s="17">
        <v>71760</v>
      </c>
      <c r="H21" s="166"/>
    </row>
    <row r="22" spans="1:8">
      <c r="A22" s="61"/>
      <c r="B22" s="17"/>
      <c r="C22" s="165" t="s">
        <v>164</v>
      </c>
      <c r="D22" s="44"/>
      <c r="E22" s="45">
        <v>93655</v>
      </c>
      <c r="H22" s="166"/>
    </row>
    <row r="23" spans="1:8" ht="13.5" thickBot="1">
      <c r="A23" s="14"/>
      <c r="B23" s="15"/>
      <c r="C23" s="14" t="s">
        <v>45</v>
      </c>
      <c r="D23" s="16">
        <f>SUM(D6)</f>
        <v>10271483</v>
      </c>
      <c r="E23" s="27">
        <f>SUM(E7:E22)</f>
        <v>10271483</v>
      </c>
      <c r="F23" s="158">
        <f>D23-E23</f>
        <v>0</v>
      </c>
      <c r="G23" s="171">
        <f>G11+G13</f>
        <v>2262.8499999996275</v>
      </c>
      <c r="H23" s="159">
        <f>SUM(H7:H22)</f>
        <v>76363</v>
      </c>
    </row>
    <row r="26" spans="1:8">
      <c r="A26" s="28" t="s">
        <v>0</v>
      </c>
      <c r="B26" s="31" t="s">
        <v>1</v>
      </c>
      <c r="C26" s="29" t="s">
        <v>36</v>
      </c>
      <c r="D26" s="149" t="s">
        <v>152</v>
      </c>
      <c r="E26" s="30" t="s">
        <v>29</v>
      </c>
    </row>
    <row r="27" spans="1:8">
      <c r="A27" s="2" t="s">
        <v>41</v>
      </c>
      <c r="B27" s="32">
        <f>B14+B18</f>
        <v>145655</v>
      </c>
      <c r="C27" s="32"/>
      <c r="E27" s="32"/>
    </row>
    <row r="28" spans="1:8">
      <c r="A28" s="2" t="s">
        <v>44</v>
      </c>
      <c r="B28" s="32">
        <f>B16</f>
        <v>6675</v>
      </c>
      <c r="C28" s="32"/>
      <c r="E28" s="32"/>
    </row>
    <row r="29" spans="1:8">
      <c r="A29" s="41" t="s">
        <v>42</v>
      </c>
      <c r="B29" s="35">
        <f>B15+B17</f>
        <v>99900</v>
      </c>
      <c r="C29" s="42"/>
      <c r="D29" s="156"/>
      <c r="E29" s="157"/>
    </row>
    <row r="30" spans="1:8">
      <c r="A30" s="54" t="s">
        <v>78</v>
      </c>
      <c r="B30" s="34">
        <f>SUM(B27:B29)</f>
        <v>252230</v>
      </c>
      <c r="C30" s="1">
        <f>SUM(E14:E22)</f>
        <v>254493</v>
      </c>
      <c r="D30" s="169">
        <v>2263</v>
      </c>
      <c r="E30" s="160">
        <f>B30-C30+D30</f>
        <v>0</v>
      </c>
    </row>
    <row r="31" spans="1:8">
      <c r="C31" s="1"/>
      <c r="D31" s="38"/>
    </row>
    <row r="32" spans="1:8" ht="13.5" thickBot="1">
      <c r="A32" s="18" t="s">
        <v>38</v>
      </c>
    </row>
    <row r="33" spans="1:3" ht="13.5" thickTop="1"/>
    <row r="34" spans="1:3">
      <c r="A34" s="67" t="s">
        <v>257</v>
      </c>
      <c r="C34" s="93">
        <v>2723839.17</v>
      </c>
    </row>
    <row r="35" spans="1:3">
      <c r="A35" s="67" t="s">
        <v>122</v>
      </c>
      <c r="C35" s="34">
        <v>-25099.48</v>
      </c>
    </row>
    <row r="36" spans="1:3">
      <c r="A36" s="67" t="s">
        <v>232</v>
      </c>
      <c r="C36" s="34">
        <v>0</v>
      </c>
    </row>
    <row r="37" spans="1:3">
      <c r="A37" t="s">
        <v>107</v>
      </c>
      <c r="C37" s="34">
        <v>53463.040000000001</v>
      </c>
    </row>
    <row r="38" spans="1:3">
      <c r="A38" t="s">
        <v>248</v>
      </c>
      <c r="C38" s="34">
        <v>91811</v>
      </c>
    </row>
    <row r="39" spans="1:3">
      <c r="A39" t="s">
        <v>261</v>
      </c>
      <c r="C39" s="34">
        <v>-700.98</v>
      </c>
    </row>
    <row r="40" spans="1:3">
      <c r="A40" s="67" t="s">
        <v>196</v>
      </c>
      <c r="C40" s="34">
        <v>-62812.81</v>
      </c>
    </row>
    <row r="41" spans="1:3">
      <c r="A41" t="s">
        <v>88</v>
      </c>
      <c r="C41" s="34">
        <f>-865711-1708022-61000-2376929-49000-1641836-1649014-9300-1910671+D23</f>
        <v>0</v>
      </c>
    </row>
    <row r="42" spans="1:3">
      <c r="A42" s="67" t="s">
        <v>249</v>
      </c>
      <c r="C42" s="34">
        <f>-'OBEC '!D121</f>
        <v>-839555</v>
      </c>
    </row>
    <row r="43" spans="1:3">
      <c r="A43" s="67" t="s">
        <v>189</v>
      </c>
      <c r="C43" s="34">
        <v>-13440</v>
      </c>
    </row>
    <row r="44" spans="1:3">
      <c r="A44" s="67" t="s">
        <v>187</v>
      </c>
      <c r="C44" s="34">
        <v>3043</v>
      </c>
    </row>
    <row r="45" spans="1:3">
      <c r="A45" s="67" t="s">
        <v>159</v>
      </c>
      <c r="C45" s="34">
        <f>-'OBEC '!D87</f>
        <v>0</v>
      </c>
    </row>
    <row r="46" spans="1:3">
      <c r="A46" s="67" t="s">
        <v>258</v>
      </c>
      <c r="C46" s="43">
        <v>-1148432</v>
      </c>
    </row>
    <row r="47" spans="1:3">
      <c r="A47" t="s">
        <v>43</v>
      </c>
      <c r="C47" s="35">
        <f>-'OBEC '!D51</f>
        <v>0</v>
      </c>
    </row>
    <row r="48" spans="1:3">
      <c r="C48" s="43">
        <f>SUM(C34:C47)</f>
        <v>782115.94</v>
      </c>
    </row>
    <row r="49" spans="1:5" hidden="1">
      <c r="A49" t="s">
        <v>111</v>
      </c>
      <c r="C49" s="47">
        <v>0</v>
      </c>
    </row>
    <row r="50" spans="1:5">
      <c r="A50" t="s">
        <v>39</v>
      </c>
      <c r="C50" s="36">
        <v>-511426.7</v>
      </c>
    </row>
    <row r="51" spans="1:5" ht="13.5" thickBot="1">
      <c r="A51" t="s">
        <v>40</v>
      </c>
      <c r="C51" s="36">
        <v>-123124.94</v>
      </c>
    </row>
    <row r="52" spans="1:5" ht="13.5" thickBot="1">
      <c r="C52" s="39">
        <f>C48+C50+C51+C49</f>
        <v>147564.29999999993</v>
      </c>
      <c r="E52" s="33"/>
    </row>
    <row r="53" spans="1:5" ht="13.5" thickTop="1">
      <c r="C53" s="40"/>
    </row>
    <row r="54" spans="1:5" ht="13.5" thickBot="1">
      <c r="A54" s="18" t="s">
        <v>84</v>
      </c>
      <c r="C54" s="34"/>
    </row>
    <row r="55" spans="1:5" ht="13.5" thickTop="1"/>
    <row r="56" spans="1:5">
      <c r="A56" s="67" t="s">
        <v>257</v>
      </c>
      <c r="C56" s="59">
        <v>13294</v>
      </c>
      <c r="D56" s="1" t="s">
        <v>191</v>
      </c>
    </row>
    <row r="58" spans="1:5">
      <c r="A58" s="63" t="s">
        <v>98</v>
      </c>
      <c r="B58" s="63"/>
      <c r="C58" s="64">
        <f>SUM(C52:C56)</f>
        <v>160858.29999999993</v>
      </c>
    </row>
  </sheetData>
  <mergeCells count="2">
    <mergeCell ref="A1:E1"/>
    <mergeCell ref="A2:E2"/>
  </mergeCells>
  <phoneticPr fontId="1" type="noConversion"/>
  <printOptions horizontalCentered="1"/>
  <pageMargins left="0.3" right="0.3" top="0.24" bottom="0.2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1"/>
  <sheetViews>
    <sheetView topLeftCell="A15" workbookViewId="0">
      <selection activeCell="B81" sqref="B81:G81"/>
    </sheetView>
  </sheetViews>
  <sheetFormatPr defaultRowHeight="12.75"/>
  <cols>
    <col min="1" max="1" width="9.42578125" style="67" customWidth="1"/>
    <col min="2" max="2" width="22.140625" style="67" customWidth="1"/>
    <col min="3" max="3" width="18.28515625" style="67" bestFit="1" customWidth="1"/>
    <col min="4" max="4" width="17.85546875" style="68" bestFit="1" customWidth="1"/>
    <col min="5" max="5" width="16.5703125" style="67" bestFit="1" customWidth="1"/>
    <col min="6" max="6" width="12.5703125" style="67" bestFit="1" customWidth="1"/>
    <col min="7" max="16384" width="9.140625" style="67"/>
  </cols>
  <sheetData>
    <row r="1" spans="1:7" ht="15">
      <c r="A1" s="187" t="s">
        <v>112</v>
      </c>
      <c r="B1" s="187"/>
      <c r="C1" s="187"/>
      <c r="D1" s="137">
        <v>44926</v>
      </c>
      <c r="E1" s="136"/>
    </row>
    <row r="2" spans="1:7" ht="13.5" thickBot="1"/>
    <row r="3" spans="1:7" s="69" customFormat="1" ht="16.5" customHeight="1" thickBot="1">
      <c r="A3" s="48" t="s">
        <v>10</v>
      </c>
      <c r="B3" s="49" t="s">
        <v>0</v>
      </c>
      <c r="C3" s="50" t="s">
        <v>70</v>
      </c>
      <c r="D3" s="52" t="s">
        <v>71</v>
      </c>
      <c r="E3" s="51" t="s">
        <v>72</v>
      </c>
    </row>
    <row r="4" spans="1:7" ht="13.5" thickTop="1">
      <c r="A4" s="70" t="s">
        <v>11</v>
      </c>
      <c r="B4" s="71" t="s">
        <v>12</v>
      </c>
      <c r="C4" s="72">
        <v>116052</v>
      </c>
      <c r="D4" s="73">
        <v>6600</v>
      </c>
      <c r="E4" s="74">
        <f t="shared" ref="E4:E9" si="0">SUM(C4:D4)</f>
        <v>122652</v>
      </c>
    </row>
    <row r="5" spans="1:7">
      <c r="A5" s="80" t="s">
        <v>76</v>
      </c>
      <c r="B5" s="81" t="s">
        <v>77</v>
      </c>
      <c r="C5" s="82">
        <v>41450.5</v>
      </c>
      <c r="D5" s="83">
        <v>452</v>
      </c>
      <c r="E5" s="79">
        <f t="shared" si="0"/>
        <v>41902.5</v>
      </c>
    </row>
    <row r="6" spans="1:7">
      <c r="A6" s="80" t="s">
        <v>175</v>
      </c>
      <c r="B6" s="81" t="s">
        <v>176</v>
      </c>
      <c r="C6" s="82">
        <v>0</v>
      </c>
      <c r="D6" s="83">
        <v>0</v>
      </c>
      <c r="E6" s="79">
        <f t="shared" si="0"/>
        <v>0</v>
      </c>
    </row>
    <row r="7" spans="1:7">
      <c r="A7" s="80" t="s">
        <v>188</v>
      </c>
      <c r="B7" s="81" t="s">
        <v>119</v>
      </c>
      <c r="C7" s="82">
        <v>9457.08</v>
      </c>
      <c r="D7" s="83">
        <v>1663.22</v>
      </c>
      <c r="E7" s="79">
        <f t="shared" si="0"/>
        <v>11120.3</v>
      </c>
    </row>
    <row r="8" spans="1:7">
      <c r="A8" s="80" t="s">
        <v>90</v>
      </c>
      <c r="B8" s="81" t="s">
        <v>85</v>
      </c>
      <c r="C8" s="82">
        <v>110309</v>
      </c>
      <c r="D8" s="83">
        <v>12500</v>
      </c>
      <c r="E8" s="84">
        <f t="shared" si="0"/>
        <v>122809</v>
      </c>
    </row>
    <row r="9" spans="1:7" ht="13.5" thickBot="1">
      <c r="A9" s="55" t="s">
        <v>89</v>
      </c>
      <c r="B9" s="56" t="s">
        <v>13</v>
      </c>
      <c r="C9" s="57">
        <v>620000</v>
      </c>
      <c r="D9" s="85">
        <v>0</v>
      </c>
      <c r="E9" s="86">
        <f t="shared" si="0"/>
        <v>620000</v>
      </c>
      <c r="G9" s="133"/>
    </row>
    <row r="10" spans="1:7">
      <c r="A10" s="70" t="s">
        <v>7</v>
      </c>
      <c r="B10" s="71" t="s">
        <v>14</v>
      </c>
      <c r="C10" s="72">
        <v>0</v>
      </c>
      <c r="D10" s="73">
        <v>0</v>
      </c>
      <c r="E10" s="74">
        <f t="shared" ref="E10:E32" si="1">SUM(C10:D10)</f>
        <v>0</v>
      </c>
    </row>
    <row r="11" spans="1:7">
      <c r="A11" s="75" t="s">
        <v>15</v>
      </c>
      <c r="B11" s="76" t="s">
        <v>16</v>
      </c>
      <c r="C11" s="77">
        <v>68150.8</v>
      </c>
      <c r="D11" s="78">
        <v>21583.89</v>
      </c>
      <c r="E11" s="79">
        <f t="shared" si="1"/>
        <v>89734.69</v>
      </c>
    </row>
    <row r="12" spans="1:7">
      <c r="A12" s="75" t="s">
        <v>53</v>
      </c>
      <c r="B12" s="76" t="s">
        <v>54</v>
      </c>
      <c r="C12" s="77">
        <v>8055.54</v>
      </c>
      <c r="D12" s="78">
        <v>-472.56</v>
      </c>
      <c r="E12" s="79">
        <f t="shared" si="1"/>
        <v>7582.98</v>
      </c>
    </row>
    <row r="13" spans="1:7">
      <c r="A13" s="75" t="s">
        <v>185</v>
      </c>
      <c r="B13" s="76" t="s">
        <v>186</v>
      </c>
      <c r="C13" s="77">
        <v>5646.1</v>
      </c>
      <c r="D13" s="78">
        <v>0</v>
      </c>
      <c r="E13" s="79">
        <f t="shared" si="1"/>
        <v>5646.1</v>
      </c>
    </row>
    <row r="14" spans="1:7">
      <c r="A14" s="75" t="s">
        <v>32</v>
      </c>
      <c r="B14" s="76" t="s">
        <v>33</v>
      </c>
      <c r="C14" s="77">
        <v>5269.5</v>
      </c>
      <c r="D14" s="78">
        <v>0</v>
      </c>
      <c r="E14" s="79">
        <f t="shared" si="1"/>
        <v>5269.5</v>
      </c>
    </row>
    <row r="15" spans="1:7">
      <c r="A15" s="75" t="s">
        <v>9</v>
      </c>
      <c r="B15" s="76" t="s">
        <v>17</v>
      </c>
      <c r="C15" s="77">
        <v>0</v>
      </c>
      <c r="D15" s="78">
        <v>0</v>
      </c>
      <c r="E15" s="79">
        <f t="shared" si="1"/>
        <v>0</v>
      </c>
    </row>
    <row r="16" spans="1:7">
      <c r="A16" s="75" t="s">
        <v>18</v>
      </c>
      <c r="B16" s="76" t="s">
        <v>19</v>
      </c>
      <c r="C16" s="77">
        <v>904</v>
      </c>
      <c r="D16" s="78">
        <v>0</v>
      </c>
      <c r="E16" s="79">
        <f t="shared" si="1"/>
        <v>904</v>
      </c>
      <c r="F16" s="68"/>
    </row>
    <row r="17" spans="1:6">
      <c r="A17" s="75" t="s">
        <v>20</v>
      </c>
      <c r="B17" s="76" t="s">
        <v>21</v>
      </c>
      <c r="C17" s="77">
        <v>20597.34</v>
      </c>
      <c r="D17" s="78">
        <v>1945.22</v>
      </c>
      <c r="E17" s="131">
        <f t="shared" si="1"/>
        <v>22542.560000000001</v>
      </c>
    </row>
    <row r="18" spans="1:6">
      <c r="A18" s="75" t="s">
        <v>34</v>
      </c>
      <c r="B18" s="76" t="s">
        <v>35</v>
      </c>
      <c r="C18" s="77">
        <v>550</v>
      </c>
      <c r="D18" s="78">
        <v>1090</v>
      </c>
      <c r="E18" s="79">
        <f t="shared" si="1"/>
        <v>1640</v>
      </c>
    </row>
    <row r="19" spans="1:6">
      <c r="A19" s="75" t="s">
        <v>22</v>
      </c>
      <c r="B19" s="76" t="s">
        <v>23</v>
      </c>
      <c r="C19" s="77">
        <v>79930</v>
      </c>
      <c r="D19" s="78">
        <v>13106</v>
      </c>
      <c r="E19" s="79">
        <f t="shared" si="1"/>
        <v>93036</v>
      </c>
    </row>
    <row r="20" spans="1:6">
      <c r="A20" s="75" t="s">
        <v>30</v>
      </c>
      <c r="B20" s="76" t="s">
        <v>31</v>
      </c>
      <c r="C20" s="77">
        <v>15586</v>
      </c>
      <c r="D20" s="78">
        <v>0</v>
      </c>
      <c r="E20" s="79">
        <f t="shared" si="1"/>
        <v>15586</v>
      </c>
    </row>
    <row r="21" spans="1:6">
      <c r="A21" s="75" t="s">
        <v>24</v>
      </c>
      <c r="B21" s="76" t="s">
        <v>25</v>
      </c>
      <c r="C21" s="77">
        <v>74668.100000000006</v>
      </c>
      <c r="D21" s="78">
        <v>5762.02</v>
      </c>
      <c r="E21" s="79">
        <f t="shared" si="1"/>
        <v>80430.12000000001</v>
      </c>
    </row>
    <row r="22" spans="1:6">
      <c r="A22" s="75" t="s">
        <v>86</v>
      </c>
      <c r="B22" s="76" t="s">
        <v>87</v>
      </c>
      <c r="C22" s="77">
        <v>110309</v>
      </c>
      <c r="D22" s="78">
        <v>12500</v>
      </c>
      <c r="E22" s="79">
        <f t="shared" si="1"/>
        <v>122809</v>
      </c>
    </row>
    <row r="23" spans="1:6">
      <c r="A23" s="75" t="s">
        <v>123</v>
      </c>
      <c r="B23" s="76" t="s">
        <v>124</v>
      </c>
      <c r="C23" s="77">
        <v>7329</v>
      </c>
      <c r="D23" s="78">
        <v>810</v>
      </c>
      <c r="E23" s="79">
        <f t="shared" si="1"/>
        <v>8139</v>
      </c>
    </row>
    <row r="24" spans="1:6">
      <c r="A24" s="75" t="s">
        <v>190</v>
      </c>
      <c r="B24" s="76" t="s">
        <v>46</v>
      </c>
      <c r="C24" s="77">
        <v>42806.44</v>
      </c>
      <c r="D24" s="78">
        <v>6953.42</v>
      </c>
      <c r="E24" s="79">
        <f t="shared" si="1"/>
        <v>49759.86</v>
      </c>
    </row>
    <row r="25" spans="1:6" hidden="1">
      <c r="A25" s="75" t="s">
        <v>102</v>
      </c>
      <c r="B25" s="76" t="s">
        <v>103</v>
      </c>
      <c r="C25" s="77">
        <v>0</v>
      </c>
      <c r="D25" s="78">
        <v>0</v>
      </c>
      <c r="E25" s="79">
        <f t="shared" si="1"/>
        <v>0</v>
      </c>
    </row>
    <row r="26" spans="1:6" hidden="1">
      <c r="A26" s="75" t="s">
        <v>114</v>
      </c>
      <c r="B26" s="76" t="s">
        <v>113</v>
      </c>
      <c r="C26" s="77">
        <v>0</v>
      </c>
      <c r="D26" s="78">
        <v>0</v>
      </c>
      <c r="E26" s="79">
        <f t="shared" si="1"/>
        <v>0</v>
      </c>
    </row>
    <row r="27" spans="1:6">
      <c r="A27" s="75" t="s">
        <v>183</v>
      </c>
      <c r="B27" s="76" t="s">
        <v>184</v>
      </c>
      <c r="C27" s="77">
        <v>5090</v>
      </c>
      <c r="D27" s="78">
        <v>0</v>
      </c>
      <c r="E27" s="79">
        <f t="shared" si="1"/>
        <v>5090</v>
      </c>
    </row>
    <row r="28" spans="1:6">
      <c r="A28" s="75" t="s">
        <v>92</v>
      </c>
      <c r="B28" s="76" t="s">
        <v>93</v>
      </c>
      <c r="C28" s="77">
        <v>0</v>
      </c>
      <c r="D28" s="78">
        <v>0</v>
      </c>
      <c r="E28" s="79">
        <f t="shared" si="1"/>
        <v>0</v>
      </c>
    </row>
    <row r="29" spans="1:6" hidden="1">
      <c r="A29" s="75" t="s">
        <v>91</v>
      </c>
      <c r="B29" s="76" t="s">
        <v>94</v>
      </c>
      <c r="C29" s="77">
        <v>0</v>
      </c>
      <c r="D29" s="78">
        <v>0</v>
      </c>
      <c r="E29" s="79">
        <f t="shared" si="1"/>
        <v>0</v>
      </c>
    </row>
    <row r="30" spans="1:6">
      <c r="A30" s="80" t="s">
        <v>26</v>
      </c>
      <c r="B30" s="81" t="s">
        <v>27</v>
      </c>
      <c r="C30" s="82">
        <v>184943</v>
      </c>
      <c r="D30" s="83">
        <v>16908</v>
      </c>
      <c r="E30" s="84">
        <f t="shared" si="1"/>
        <v>201851</v>
      </c>
    </row>
    <row r="31" spans="1:6">
      <c r="A31" s="80" t="s">
        <v>100</v>
      </c>
      <c r="B31" s="81" t="s">
        <v>37</v>
      </c>
      <c r="C31" s="82">
        <v>47104.69</v>
      </c>
      <c r="D31" s="83">
        <v>0</v>
      </c>
      <c r="E31" s="84">
        <f t="shared" si="1"/>
        <v>47104.69</v>
      </c>
      <c r="F31" s="93"/>
    </row>
    <row r="32" spans="1:6" ht="13.5" thickBot="1">
      <c r="A32" s="90" t="s">
        <v>193</v>
      </c>
      <c r="B32" s="91" t="s">
        <v>194</v>
      </c>
      <c r="C32" s="92">
        <v>500</v>
      </c>
      <c r="D32" s="175">
        <v>0</v>
      </c>
      <c r="E32" s="176">
        <f t="shared" si="1"/>
        <v>500</v>
      </c>
      <c r="F32" s="93"/>
    </row>
    <row r="33" spans="1:7" ht="14.25" thickTop="1" thickBot="1">
      <c r="A33" s="87"/>
      <c r="B33" s="88" t="s">
        <v>28</v>
      </c>
      <c r="C33" s="89">
        <f>SUM(C4:C9)-SUM(C10:C32)</f>
        <v>219829.06999999995</v>
      </c>
      <c r="D33" s="89">
        <f>SUM(D4:D9)-SUM(D10:D32)</f>
        <v>-58970.770000000004</v>
      </c>
      <c r="E33" s="89">
        <f>(SUM(E4:E9))-(SUM(E10:E32))</f>
        <v>160858.30000000005</v>
      </c>
      <c r="F33" s="93"/>
      <c r="G33" s="93"/>
    </row>
    <row r="34" spans="1:7">
      <c r="C34" s="93"/>
      <c r="D34" s="93"/>
      <c r="E34" s="93"/>
    </row>
    <row r="35" spans="1:7" ht="14.25" customHeight="1" thickBot="1">
      <c r="A35" s="46" t="s">
        <v>29</v>
      </c>
      <c r="B35" s="94"/>
      <c r="C35" s="95" t="s">
        <v>2</v>
      </c>
      <c r="D35" s="95" t="s">
        <v>3</v>
      </c>
      <c r="E35" s="95"/>
    </row>
    <row r="36" spans="1:7" ht="14.25" customHeight="1" thickTop="1">
      <c r="A36" s="47" t="s">
        <v>69</v>
      </c>
      <c r="C36" s="96"/>
      <c r="D36" s="96"/>
      <c r="E36" s="97">
        <f>C33</f>
        <v>219829.06999999995</v>
      </c>
    </row>
    <row r="37" spans="1:7" ht="13.5" thickBot="1">
      <c r="A37" s="36" t="s">
        <v>75</v>
      </c>
      <c r="C37" s="93">
        <f>SUM(D4:D9)</f>
        <v>21215.22</v>
      </c>
      <c r="D37" s="93">
        <f>SUM(D10:D32)</f>
        <v>80185.990000000005</v>
      </c>
      <c r="E37" s="36">
        <f>C37-D37</f>
        <v>-58970.770000000004</v>
      </c>
    </row>
    <row r="38" spans="1:7" ht="13.5" thickBot="1">
      <c r="A38" s="98" t="s">
        <v>73</v>
      </c>
      <c r="B38" s="99"/>
      <c r="C38" s="100"/>
      <c r="D38" s="100"/>
      <c r="E38" s="101">
        <f>SUM(E36:E37)</f>
        <v>160858.29999999993</v>
      </c>
    </row>
    <row r="39" spans="1:7">
      <c r="A39" s="93"/>
      <c r="B39" s="93"/>
      <c r="C39" s="93"/>
      <c r="D39" s="93"/>
    </row>
    <row r="40" spans="1:7">
      <c r="B40" s="68"/>
      <c r="C40" s="68"/>
      <c r="F40" s="102"/>
    </row>
    <row r="41" spans="1:7">
      <c r="D41" s="3"/>
      <c r="F41" s="102"/>
    </row>
    <row r="42" spans="1:7">
      <c r="D42" s="67"/>
    </row>
    <row r="43" spans="1:7" ht="15.75" thickBot="1">
      <c r="A43" s="188" t="s">
        <v>81</v>
      </c>
      <c r="B43" s="188"/>
      <c r="C43" s="188"/>
      <c r="D43" s="103">
        <f>D1</f>
        <v>44926</v>
      </c>
    </row>
    <row r="44" spans="1:7" ht="13.5" thickBot="1">
      <c r="A44" s="4" t="s">
        <v>10</v>
      </c>
      <c r="B44" s="22" t="s">
        <v>0</v>
      </c>
      <c r="C44" s="23" t="s">
        <v>2</v>
      </c>
      <c r="D44" s="21" t="s">
        <v>3</v>
      </c>
    </row>
    <row r="45" spans="1:7" ht="13.5" thickTop="1">
      <c r="A45" s="104" t="s">
        <v>55</v>
      </c>
      <c r="B45" s="105" t="s">
        <v>56</v>
      </c>
      <c r="C45" s="106">
        <v>672519.05</v>
      </c>
      <c r="D45" s="107"/>
    </row>
    <row r="46" spans="1:7" hidden="1">
      <c r="A46" s="104" t="s">
        <v>89</v>
      </c>
      <c r="B46" s="105" t="s">
        <v>13</v>
      </c>
      <c r="C46" s="106">
        <v>0</v>
      </c>
      <c r="D46" s="107"/>
    </row>
    <row r="47" spans="1:7" ht="13.5" thickBot="1">
      <c r="A47" s="108" t="s">
        <v>57</v>
      </c>
      <c r="B47" s="109" t="s">
        <v>58</v>
      </c>
      <c r="C47" s="109"/>
      <c r="D47" s="110">
        <v>672519.05</v>
      </c>
    </row>
    <row r="48" spans="1:7" ht="14.25" thickTop="1" thickBot="1">
      <c r="A48" s="111"/>
      <c r="B48" s="88" t="s">
        <v>28</v>
      </c>
      <c r="C48" s="112">
        <f>SUM(C45:C47)</f>
        <v>672519.05</v>
      </c>
      <c r="D48" s="113">
        <f>SUM(D47)</f>
        <v>672519.05</v>
      </c>
    </row>
    <row r="49" spans="1:5" ht="12.75" customHeight="1">
      <c r="D49" s="67"/>
    </row>
    <row r="50" spans="1:5" ht="13.5" thickBot="1">
      <c r="A50" s="18" t="s">
        <v>29</v>
      </c>
      <c r="B50" s="114" t="s">
        <v>2</v>
      </c>
      <c r="C50" s="115" t="s">
        <v>3</v>
      </c>
      <c r="D50" s="115"/>
    </row>
    <row r="51" spans="1:5" ht="13.5" thickTop="1">
      <c r="A51" s="2"/>
      <c r="B51" s="68">
        <f>C48</f>
        <v>672519.05</v>
      </c>
      <c r="C51" s="68">
        <f>D48</f>
        <v>672519.05</v>
      </c>
      <c r="D51" s="3">
        <f>B51-C51</f>
        <v>0</v>
      </c>
      <c r="E51" s="102"/>
    </row>
    <row r="52" spans="1:5">
      <c r="D52" s="67"/>
    </row>
    <row r="53" spans="1:5" ht="15.75" thickBot="1">
      <c r="A53" s="188" t="s">
        <v>82</v>
      </c>
      <c r="B53" s="188"/>
      <c r="C53" s="188"/>
      <c r="D53" s="103">
        <f>D43</f>
        <v>44926</v>
      </c>
    </row>
    <row r="54" spans="1:5" ht="13.5" thickBot="1">
      <c r="A54" s="4" t="s">
        <v>10</v>
      </c>
      <c r="B54" s="22" t="s">
        <v>0</v>
      </c>
      <c r="C54" s="23" t="s">
        <v>2</v>
      </c>
      <c r="D54" s="21" t="s">
        <v>3</v>
      </c>
    </row>
    <row r="55" spans="1:5" ht="13.5" thickTop="1">
      <c r="A55" s="104" t="s">
        <v>59</v>
      </c>
      <c r="B55" s="105" t="s">
        <v>56</v>
      </c>
      <c r="C55" s="106">
        <v>309610</v>
      </c>
      <c r="D55" s="107"/>
    </row>
    <row r="56" spans="1:5">
      <c r="A56" s="104" t="s">
        <v>60</v>
      </c>
      <c r="B56" s="105" t="s">
        <v>58</v>
      </c>
      <c r="C56" s="106"/>
      <c r="D56" s="107">
        <v>210525</v>
      </c>
    </row>
    <row r="57" spans="1:5">
      <c r="A57" s="104" t="s">
        <v>181</v>
      </c>
      <c r="B57" s="105" t="s">
        <v>182</v>
      </c>
      <c r="C57" s="106"/>
      <c r="D57" s="107">
        <v>31290</v>
      </c>
    </row>
    <row r="58" spans="1:5">
      <c r="A58" s="104" t="s">
        <v>80</v>
      </c>
      <c r="B58" s="105" t="s">
        <v>23</v>
      </c>
      <c r="C58" s="106"/>
      <c r="D58" s="107">
        <v>0</v>
      </c>
    </row>
    <row r="59" spans="1:5">
      <c r="A59" s="104" t="s">
        <v>61</v>
      </c>
      <c r="B59" s="105" t="s">
        <v>62</v>
      </c>
      <c r="C59" s="106"/>
      <c r="D59" s="107">
        <v>49921</v>
      </c>
    </row>
    <row r="60" spans="1:5">
      <c r="A60" s="104" t="s">
        <v>63</v>
      </c>
      <c r="B60" s="105" t="s">
        <v>64</v>
      </c>
      <c r="C60" s="105"/>
      <c r="D60" s="107">
        <v>12376</v>
      </c>
    </row>
    <row r="61" spans="1:5">
      <c r="A61" s="104" t="s">
        <v>65</v>
      </c>
      <c r="B61" s="105" t="s">
        <v>66</v>
      </c>
      <c r="C61" s="105"/>
      <c r="D61" s="107">
        <v>4493</v>
      </c>
    </row>
    <row r="62" spans="1:5" ht="13.5" thickBot="1">
      <c r="A62" s="116" t="s">
        <v>67</v>
      </c>
      <c r="B62" s="117" t="s">
        <v>68</v>
      </c>
      <c r="C62" s="109"/>
      <c r="D62" s="118">
        <v>1005</v>
      </c>
    </row>
    <row r="63" spans="1:5" ht="14.25" thickTop="1" thickBot="1">
      <c r="A63" s="119"/>
      <c r="B63" s="120" t="s">
        <v>28</v>
      </c>
      <c r="C63" s="121">
        <f>SUM(C55:C62)</f>
        <v>309610</v>
      </c>
      <c r="D63" s="122">
        <f>SUM(D56:D62)</f>
        <v>309610</v>
      </c>
    </row>
    <row r="64" spans="1:5">
      <c r="A64" s="123"/>
      <c r="B64" s="123"/>
      <c r="D64" s="124"/>
    </row>
    <row r="65" spans="1:5" ht="13.5" thickBot="1">
      <c r="A65" s="18" t="s">
        <v>29</v>
      </c>
      <c r="B65" s="114" t="s">
        <v>2</v>
      </c>
      <c r="C65" s="115" t="s">
        <v>3</v>
      </c>
      <c r="D65" s="115"/>
    </row>
    <row r="66" spans="1:5" ht="13.5" thickTop="1">
      <c r="A66" s="2"/>
      <c r="B66" s="68">
        <f>C63</f>
        <v>309610</v>
      </c>
      <c r="C66" s="68">
        <f>D63</f>
        <v>309610</v>
      </c>
      <c r="D66" s="3">
        <f>B66-C66</f>
        <v>0</v>
      </c>
      <c r="E66" s="102"/>
    </row>
    <row r="67" spans="1:5">
      <c r="A67" s="123"/>
      <c r="B67" s="123"/>
      <c r="D67" s="124"/>
    </row>
    <row r="68" spans="1:5" ht="15.75" thickBot="1">
      <c r="A68" s="188" t="s">
        <v>106</v>
      </c>
      <c r="B68" s="188"/>
      <c r="C68" s="188"/>
      <c r="D68" s="103">
        <f>D43</f>
        <v>44926</v>
      </c>
    </row>
    <row r="69" spans="1:5" ht="13.5" thickBot="1">
      <c r="A69" s="4" t="s">
        <v>10</v>
      </c>
      <c r="B69" s="22" t="s">
        <v>0</v>
      </c>
      <c r="C69" s="23" t="s">
        <v>2</v>
      </c>
      <c r="D69" s="21" t="s">
        <v>3</v>
      </c>
    </row>
    <row r="70" spans="1:5" ht="13.5" thickTop="1">
      <c r="A70" s="104" t="s">
        <v>105</v>
      </c>
      <c r="B70" s="105" t="s">
        <v>56</v>
      </c>
      <c r="C70" s="106">
        <v>16044</v>
      </c>
      <c r="D70" s="107"/>
    </row>
    <row r="71" spans="1:5" hidden="1">
      <c r="A71" s="104" t="s">
        <v>162</v>
      </c>
      <c r="B71" s="105" t="s">
        <v>134</v>
      </c>
      <c r="C71" s="106"/>
      <c r="D71" s="107">
        <v>0</v>
      </c>
    </row>
    <row r="72" spans="1:5" ht="13.5" thickBot="1">
      <c r="A72" s="108" t="s">
        <v>171</v>
      </c>
      <c r="B72" s="109" t="s">
        <v>25</v>
      </c>
      <c r="C72" s="132"/>
      <c r="D72" s="110">
        <v>16044</v>
      </c>
    </row>
    <row r="73" spans="1:5" ht="14.25" thickTop="1" thickBot="1">
      <c r="A73" s="119"/>
      <c r="B73" s="120" t="s">
        <v>28</v>
      </c>
      <c r="C73" s="112">
        <f>SUM(C70:C71)</f>
        <v>16044</v>
      </c>
      <c r="D73" s="122">
        <f>SUM(D71:D72)</f>
        <v>16044</v>
      </c>
    </row>
    <row r="74" spans="1:5">
      <c r="A74" s="123"/>
      <c r="B74" s="123"/>
      <c r="D74" s="124"/>
    </row>
    <row r="75" spans="1:5" ht="13.5" thickBot="1">
      <c r="A75" s="18" t="s">
        <v>29</v>
      </c>
      <c r="B75" s="114" t="s">
        <v>2</v>
      </c>
      <c r="C75" s="115" t="s">
        <v>3</v>
      </c>
      <c r="D75" s="115"/>
    </row>
    <row r="76" spans="1:5" ht="13.5" thickTop="1">
      <c r="A76" s="2"/>
      <c r="B76" s="68">
        <f>C73</f>
        <v>16044</v>
      </c>
      <c r="C76" s="68">
        <f>D73</f>
        <v>16044</v>
      </c>
      <c r="D76" s="3">
        <f>B76-C76</f>
        <v>0</v>
      </c>
    </row>
    <row r="77" spans="1:5">
      <c r="A77" s="2"/>
      <c r="B77" s="68"/>
      <c r="C77" s="68"/>
      <c r="D77" s="3"/>
    </row>
    <row r="78" spans="1:5" ht="15.75" thickBot="1">
      <c r="A78" s="188" t="s">
        <v>156</v>
      </c>
      <c r="B78" s="188"/>
      <c r="C78" s="188"/>
      <c r="D78" s="103">
        <f>D1</f>
        <v>44926</v>
      </c>
    </row>
    <row r="79" spans="1:5" ht="13.5" thickBot="1">
      <c r="A79" s="4" t="s">
        <v>10</v>
      </c>
      <c r="B79" s="22" t="s">
        <v>0</v>
      </c>
      <c r="C79" s="23" t="s">
        <v>2</v>
      </c>
      <c r="D79" s="21" t="s">
        <v>3</v>
      </c>
    </row>
    <row r="80" spans="1:5" ht="13.5" thickTop="1">
      <c r="A80" s="104" t="s">
        <v>161</v>
      </c>
      <c r="B80" s="105" t="s">
        <v>163</v>
      </c>
      <c r="C80" s="106">
        <v>0</v>
      </c>
      <c r="D80" s="164"/>
    </row>
    <row r="81" spans="1:4">
      <c r="A81" s="104" t="s">
        <v>97</v>
      </c>
      <c r="B81" s="105" t="s">
        <v>157</v>
      </c>
      <c r="C81" s="106">
        <v>30000</v>
      </c>
      <c r="D81" s="107"/>
    </row>
    <row r="82" spans="1:4">
      <c r="A82" s="104" t="s">
        <v>158</v>
      </c>
      <c r="B82" s="105" t="s">
        <v>134</v>
      </c>
      <c r="C82" s="106"/>
      <c r="D82" s="107">
        <v>30000</v>
      </c>
    </row>
    <row r="83" spans="1:4" ht="13.5" thickBot="1">
      <c r="A83" s="111" t="s">
        <v>169</v>
      </c>
      <c r="B83" s="88" t="s">
        <v>170</v>
      </c>
      <c r="C83" s="112"/>
      <c r="D83" s="113">
        <v>0</v>
      </c>
    </row>
    <row r="84" spans="1:4" ht="13.5" thickBot="1">
      <c r="A84" s="119"/>
      <c r="B84" s="120" t="s">
        <v>28</v>
      </c>
      <c r="C84" s="112">
        <f>SUM(C80:C83)</f>
        <v>30000</v>
      </c>
      <c r="D84" s="122">
        <f>SUM(D80:D83)</f>
        <v>30000</v>
      </c>
    </row>
    <row r="85" spans="1:4">
      <c r="A85" s="123"/>
      <c r="B85" s="123"/>
      <c r="D85" s="124"/>
    </row>
    <row r="86" spans="1:4" ht="13.5" thickBot="1">
      <c r="A86" s="18" t="s">
        <v>29</v>
      </c>
      <c r="B86" s="114" t="s">
        <v>2</v>
      </c>
      <c r="C86" s="115" t="s">
        <v>3</v>
      </c>
      <c r="D86" s="115"/>
    </row>
    <row r="87" spans="1:4" ht="13.5" thickTop="1">
      <c r="A87" s="2"/>
      <c r="B87" s="68">
        <f>C84</f>
        <v>30000</v>
      </c>
      <c r="C87" s="68">
        <f>D84</f>
        <v>30000</v>
      </c>
      <c r="D87" s="3">
        <f>B87-C87</f>
        <v>0</v>
      </c>
    </row>
    <row r="89" spans="1:4" ht="15.75" thickBot="1">
      <c r="A89" s="188" t="s">
        <v>233</v>
      </c>
      <c r="B89" s="188"/>
      <c r="C89" s="188"/>
      <c r="D89" s="103">
        <f>D1</f>
        <v>44926</v>
      </c>
    </row>
    <row r="90" spans="1:4" ht="13.5" thickBot="1">
      <c r="A90" s="4" t="s">
        <v>10</v>
      </c>
      <c r="B90" s="22" t="s">
        <v>0</v>
      </c>
      <c r="C90" s="23" t="s">
        <v>2</v>
      </c>
      <c r="D90" s="21" t="s">
        <v>3</v>
      </c>
    </row>
    <row r="91" spans="1:4" ht="13.5" thickTop="1">
      <c r="A91" s="104"/>
      <c r="B91" s="105" t="s">
        <v>115</v>
      </c>
      <c r="C91" s="106">
        <v>266238.64</v>
      </c>
      <c r="D91" s="107"/>
    </row>
    <row r="92" spans="1:4">
      <c r="A92" s="104" t="s">
        <v>120</v>
      </c>
      <c r="B92" s="105" t="s">
        <v>121</v>
      </c>
      <c r="C92" s="106"/>
      <c r="D92" s="107">
        <v>76509</v>
      </c>
    </row>
    <row r="93" spans="1:4">
      <c r="A93" s="104" t="s">
        <v>117</v>
      </c>
      <c r="B93" s="105" t="s">
        <v>35</v>
      </c>
      <c r="C93" s="106"/>
      <c r="D93" s="107">
        <v>0</v>
      </c>
    </row>
    <row r="94" spans="1:4">
      <c r="A94" s="104" t="s">
        <v>146</v>
      </c>
      <c r="B94" s="105" t="s">
        <v>147</v>
      </c>
      <c r="C94" s="106"/>
      <c r="D94" s="107">
        <v>0</v>
      </c>
    </row>
    <row r="95" spans="1:4">
      <c r="A95" s="104" t="s">
        <v>125</v>
      </c>
      <c r="B95" s="105" t="s">
        <v>126</v>
      </c>
      <c r="C95" s="106"/>
      <c r="D95" s="107">
        <v>22869</v>
      </c>
    </row>
    <row r="96" spans="1:4">
      <c r="A96" s="104" t="s">
        <v>116</v>
      </c>
      <c r="B96" s="105" t="s">
        <v>62</v>
      </c>
      <c r="C96" s="106"/>
      <c r="D96" s="107">
        <v>104240</v>
      </c>
    </row>
    <row r="97" spans="1:5">
      <c r="A97" s="104" t="s">
        <v>150</v>
      </c>
      <c r="B97" s="105" t="s">
        <v>64</v>
      </c>
      <c r="C97" s="106"/>
      <c r="D97" s="107">
        <v>17914</v>
      </c>
    </row>
    <row r="98" spans="1:5">
      <c r="A98" s="104" t="s">
        <v>151</v>
      </c>
      <c r="B98" s="105" t="s">
        <v>66</v>
      </c>
      <c r="C98" s="106"/>
      <c r="D98" s="107">
        <v>6503</v>
      </c>
    </row>
    <row r="99" spans="1:5">
      <c r="A99" s="104" t="s">
        <v>154</v>
      </c>
      <c r="B99" s="105" t="s">
        <v>155</v>
      </c>
      <c r="C99" s="106"/>
      <c r="D99" s="107">
        <v>0</v>
      </c>
    </row>
    <row r="100" spans="1:5" ht="13.5" thickBot="1">
      <c r="A100" s="108" t="s">
        <v>148</v>
      </c>
      <c r="B100" s="109" t="s">
        <v>149</v>
      </c>
      <c r="C100" s="132"/>
      <c r="D100" s="110">
        <v>38203.64</v>
      </c>
    </row>
    <row r="101" spans="1:5" ht="14.25" thickTop="1" thickBot="1">
      <c r="A101" s="119"/>
      <c r="B101" s="120" t="s">
        <v>28</v>
      </c>
      <c r="C101" s="112">
        <f>SUM(C91:C96)</f>
        <v>266238.64</v>
      </c>
      <c r="D101" s="122">
        <f>SUM(D92:D100)</f>
        <v>266238.64</v>
      </c>
    </row>
    <row r="102" spans="1:5">
      <c r="A102" s="123"/>
      <c r="B102" s="123"/>
      <c r="D102" s="124"/>
    </row>
    <row r="103" spans="1:5" ht="13.5" thickBot="1">
      <c r="A103" s="18" t="s">
        <v>29</v>
      </c>
      <c r="B103" s="114" t="s">
        <v>2</v>
      </c>
      <c r="C103" s="115" t="s">
        <v>3</v>
      </c>
      <c r="D103" s="115"/>
    </row>
    <row r="104" spans="1:5" ht="13.5" thickTop="1">
      <c r="A104" s="2"/>
      <c r="B104" s="68">
        <f>C101</f>
        <v>266238.64</v>
      </c>
      <c r="C104" s="68">
        <f>D101</f>
        <v>266238.64</v>
      </c>
      <c r="D104" s="3">
        <f>B104-C104</f>
        <v>0</v>
      </c>
      <c r="E104" s="102"/>
    </row>
    <row r="106" spans="1:5" ht="15.75" thickBot="1">
      <c r="A106" s="188" t="s">
        <v>250</v>
      </c>
      <c r="B106" s="188"/>
      <c r="C106" s="188"/>
      <c r="D106" s="103">
        <f>D1</f>
        <v>44926</v>
      </c>
    </row>
    <row r="107" spans="1:5" ht="13.5" thickBot="1">
      <c r="A107" s="4" t="s">
        <v>10</v>
      </c>
      <c r="B107" s="22" t="s">
        <v>0</v>
      </c>
      <c r="C107" s="23" t="s">
        <v>2</v>
      </c>
      <c r="D107" s="21" t="s">
        <v>3</v>
      </c>
    </row>
    <row r="108" spans="1:5" ht="13.5" thickTop="1">
      <c r="A108" s="104"/>
      <c r="B108" s="105" t="s">
        <v>115</v>
      </c>
      <c r="C108" s="106">
        <v>947929</v>
      </c>
      <c r="D108" s="107"/>
    </row>
    <row r="109" spans="1:5">
      <c r="A109" s="104" t="s">
        <v>120</v>
      </c>
      <c r="B109" s="105" t="s">
        <v>121</v>
      </c>
      <c r="C109" s="106"/>
      <c r="D109" s="107">
        <v>0</v>
      </c>
    </row>
    <row r="110" spans="1:5">
      <c r="A110" s="104" t="s">
        <v>117</v>
      </c>
      <c r="B110" s="105" t="s">
        <v>35</v>
      </c>
      <c r="C110" s="106"/>
      <c r="D110" s="107">
        <v>62396</v>
      </c>
    </row>
    <row r="111" spans="1:5">
      <c r="A111" s="104" t="s">
        <v>146</v>
      </c>
      <c r="B111" s="105" t="s">
        <v>147</v>
      </c>
      <c r="C111" s="106"/>
      <c r="D111" s="107">
        <v>0</v>
      </c>
    </row>
    <row r="112" spans="1:5">
      <c r="A112" s="104" t="s">
        <v>125</v>
      </c>
      <c r="B112" s="105" t="s">
        <v>126</v>
      </c>
      <c r="C112" s="106"/>
      <c r="D112" s="107">
        <v>7498</v>
      </c>
    </row>
    <row r="113" spans="1:4">
      <c r="A113" s="104" t="s">
        <v>116</v>
      </c>
      <c r="B113" s="105" t="s">
        <v>62</v>
      </c>
      <c r="C113" s="106"/>
      <c r="D113" s="107">
        <v>28736</v>
      </c>
    </row>
    <row r="114" spans="1:4">
      <c r="A114" s="104" t="s">
        <v>150</v>
      </c>
      <c r="B114" s="105" t="s">
        <v>64</v>
      </c>
      <c r="C114" s="106"/>
      <c r="D114" s="107">
        <v>6036</v>
      </c>
    </row>
    <row r="115" spans="1:4">
      <c r="A115" s="104" t="s">
        <v>151</v>
      </c>
      <c r="B115" s="105" t="s">
        <v>66</v>
      </c>
      <c r="C115" s="106"/>
      <c r="D115" s="107">
        <v>2191</v>
      </c>
    </row>
    <row r="116" spans="1:4">
      <c r="A116" s="104" t="s">
        <v>154</v>
      </c>
      <c r="B116" s="105" t="s">
        <v>155</v>
      </c>
      <c r="C116" s="106"/>
      <c r="D116" s="107">
        <v>1517</v>
      </c>
    </row>
    <row r="117" spans="1:4" ht="13.5" thickBot="1">
      <c r="A117" s="108" t="s">
        <v>148</v>
      </c>
      <c r="B117" s="109" t="s">
        <v>149</v>
      </c>
      <c r="C117" s="132"/>
      <c r="D117" s="110">
        <v>0</v>
      </c>
    </row>
    <row r="118" spans="1:4" ht="14.25" thickTop="1" thickBot="1">
      <c r="A118" s="119"/>
      <c r="B118" s="120" t="s">
        <v>28</v>
      </c>
      <c r="C118" s="112">
        <f>SUM(C108:C113)</f>
        <v>947929</v>
      </c>
      <c r="D118" s="122">
        <f>SUM(D109:D117)</f>
        <v>108374</v>
      </c>
    </row>
    <row r="119" spans="1:4">
      <c r="A119" s="123"/>
      <c r="B119" s="123"/>
      <c r="D119" s="124"/>
    </row>
    <row r="120" spans="1:4" ht="13.5" thickBot="1">
      <c r="A120" s="18" t="s">
        <v>29</v>
      </c>
      <c r="B120" s="114" t="s">
        <v>2</v>
      </c>
      <c r="C120" s="115" t="s">
        <v>3</v>
      </c>
      <c r="D120" s="115"/>
    </row>
    <row r="121" spans="1:4" ht="13.5" thickTop="1">
      <c r="A121" s="2"/>
      <c r="B121" s="68">
        <f>C118</f>
        <v>947929</v>
      </c>
      <c r="C121" s="68">
        <f>D118</f>
        <v>108374</v>
      </c>
      <c r="D121" s="3">
        <f>B121-C121</f>
        <v>839555</v>
      </c>
    </row>
  </sheetData>
  <mergeCells count="7">
    <mergeCell ref="A1:C1"/>
    <mergeCell ref="A78:C78"/>
    <mergeCell ref="A106:C106"/>
    <mergeCell ref="A89:C89"/>
    <mergeCell ref="A43:C43"/>
    <mergeCell ref="A53:C53"/>
    <mergeCell ref="A68:C68"/>
  </mergeCells>
  <phoneticPr fontId="1" type="noConversion"/>
  <printOptions horizontalCentered="1"/>
  <pageMargins left="0.78740157480314965" right="0.78740157480314965" top="0.16" bottom="0.27" header="0.13" footer="0.31"/>
  <pageSetup paperSize="9" orientation="portrait" horizontalDpi="4294967293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81" sqref="B81:G81"/>
    </sheetView>
  </sheetViews>
  <sheetFormatPr defaultRowHeight="12.75"/>
  <cols>
    <col min="1" max="1" width="9.140625" style="67"/>
    <col min="2" max="2" width="26.5703125" style="67" customWidth="1"/>
    <col min="3" max="3" width="11.7109375" style="67" bestFit="1" customWidth="1"/>
    <col min="4" max="4" width="11.7109375" style="65" bestFit="1" customWidth="1"/>
    <col min="5" max="5" width="15.7109375" style="67" bestFit="1" customWidth="1"/>
    <col min="6" max="6" width="10.140625" style="67" bestFit="1" customWidth="1"/>
    <col min="7" max="16384" width="9.140625" style="67"/>
  </cols>
  <sheetData>
    <row r="1" spans="1:5" s="53" customFormat="1" ht="25.5" customHeight="1">
      <c r="A1" s="189" t="s">
        <v>83</v>
      </c>
      <c r="B1" s="189"/>
      <c r="C1" s="189"/>
      <c r="D1" s="189"/>
      <c r="E1" s="58">
        <f>'OBEC '!D1</f>
        <v>44926</v>
      </c>
    </row>
    <row r="2" spans="1:5" ht="13.5" thickBot="1"/>
    <row r="3" spans="1:5" ht="51.75" thickBot="1">
      <c r="A3" s="48" t="s">
        <v>4</v>
      </c>
      <c r="B3" s="49" t="s">
        <v>0</v>
      </c>
      <c r="C3" s="150" t="s">
        <v>197</v>
      </c>
      <c r="D3" s="150" t="s">
        <v>198</v>
      </c>
      <c r="E3" s="150" t="s">
        <v>199</v>
      </c>
    </row>
    <row r="4" spans="1:5" ht="13.5" thickTop="1">
      <c r="A4" s="138"/>
      <c r="B4" s="139" t="s">
        <v>127</v>
      </c>
      <c r="C4" s="140">
        <f>SUM(C5:C7)</f>
        <v>865000</v>
      </c>
      <c r="D4" s="140">
        <f>SUM(D5:D7)</f>
        <v>1017000</v>
      </c>
      <c r="E4" s="140">
        <f>SUM(E5:E7)</f>
        <v>918483.8</v>
      </c>
    </row>
    <row r="5" spans="1:5">
      <c r="A5" s="128" t="s">
        <v>89</v>
      </c>
      <c r="B5" s="129" t="s">
        <v>128</v>
      </c>
      <c r="C5" s="135">
        <v>620000</v>
      </c>
      <c r="D5" s="135">
        <f>620000</f>
        <v>620000</v>
      </c>
      <c r="E5" s="135">
        <f>'OBEC '!E9</f>
        <v>620000</v>
      </c>
    </row>
    <row r="6" spans="1:5">
      <c r="A6" s="126" t="s">
        <v>76</v>
      </c>
      <c r="B6" s="127" t="s">
        <v>130</v>
      </c>
      <c r="C6" s="135">
        <v>20000</v>
      </c>
      <c r="D6" s="135">
        <f>20000+10000+10000+90000+10000</f>
        <v>140000</v>
      </c>
      <c r="E6" s="135">
        <f>'OBEC '!E5</f>
        <v>41902.5</v>
      </c>
    </row>
    <row r="7" spans="1:5" ht="13.5" thickBot="1">
      <c r="A7" s="141" t="s">
        <v>131</v>
      </c>
      <c r="B7" s="130" t="s">
        <v>119</v>
      </c>
      <c r="C7" s="142">
        <v>225000</v>
      </c>
      <c r="D7" s="142">
        <f>225000+30000+2000</f>
        <v>257000</v>
      </c>
      <c r="E7" s="142">
        <f>'OBEC '!E4+'OBEC '!E8+'OBEC '!E7+'OBEC '!E6</f>
        <v>256581.3</v>
      </c>
    </row>
    <row r="8" spans="1:5" ht="13.5" thickTop="1">
      <c r="A8" s="125"/>
      <c r="B8" s="139" t="s">
        <v>132</v>
      </c>
      <c r="C8" s="143">
        <f>SUM(C9:C20)</f>
        <v>865000</v>
      </c>
      <c r="D8" s="143">
        <f>SUM(D9:D21)</f>
        <v>1017000</v>
      </c>
      <c r="E8" s="143">
        <f>SUM(E9:E21)</f>
        <v>757625.5</v>
      </c>
    </row>
    <row r="9" spans="1:5">
      <c r="A9" s="126" t="s">
        <v>133</v>
      </c>
      <c r="B9" s="127" t="s">
        <v>134</v>
      </c>
      <c r="C9" s="135">
        <v>239949</v>
      </c>
      <c r="D9" s="135">
        <f>239949-100000-1000+2000</f>
        <v>140949</v>
      </c>
      <c r="E9" s="135">
        <f>'OBEC '!E10+'OBEC '!E11+'OBEC '!E12+'OBEC '!E13</f>
        <v>102963.77</v>
      </c>
    </row>
    <row r="10" spans="1:5">
      <c r="A10" s="128" t="s">
        <v>135</v>
      </c>
      <c r="B10" s="129" t="s">
        <v>33</v>
      </c>
      <c r="C10" s="144">
        <v>50000</v>
      </c>
      <c r="D10" s="144">
        <f>50000+10000</f>
        <v>60000</v>
      </c>
      <c r="E10" s="144">
        <f>'OBEC '!E14</f>
        <v>5269.5</v>
      </c>
    </row>
    <row r="11" spans="1:5">
      <c r="A11" s="128" t="s">
        <v>136</v>
      </c>
      <c r="B11" s="129" t="s">
        <v>17</v>
      </c>
      <c r="C11" s="144">
        <v>1500</v>
      </c>
      <c r="D11" s="144">
        <f>1500</f>
        <v>1500</v>
      </c>
      <c r="E11" s="144">
        <f>'OBEC '!E15</f>
        <v>0</v>
      </c>
    </row>
    <row r="12" spans="1:5">
      <c r="A12" s="128" t="s">
        <v>108</v>
      </c>
      <c r="B12" s="129" t="s">
        <v>25</v>
      </c>
      <c r="C12" s="144">
        <v>280000</v>
      </c>
      <c r="D12" s="144">
        <f>280000+30000+100000</f>
        <v>410000</v>
      </c>
      <c r="E12" s="144">
        <f>'OBEC '!E16+'OBEC '!E17+'OBEC '!E18+'OBEC '!E19+'OBEC '!E20+'OBEC '!E21+'OBEC '!E22+'OBEC '!E23+'OBEC '!E24</f>
        <v>394846.54</v>
      </c>
    </row>
    <row r="13" spans="1:5">
      <c r="A13" s="128" t="s">
        <v>137</v>
      </c>
      <c r="B13" s="129" t="s">
        <v>62</v>
      </c>
      <c r="C13" s="144">
        <v>0</v>
      </c>
      <c r="D13" s="144">
        <f>0</f>
        <v>0</v>
      </c>
      <c r="E13" s="144">
        <f>'OBEC '!E25</f>
        <v>0</v>
      </c>
    </row>
    <row r="14" spans="1:5">
      <c r="A14" s="128" t="s">
        <v>114</v>
      </c>
      <c r="B14" s="129" t="s">
        <v>138</v>
      </c>
      <c r="C14" s="144">
        <v>0</v>
      </c>
      <c r="D14" s="144">
        <f>0</f>
        <v>0</v>
      </c>
      <c r="E14" s="144">
        <f>'OBEC '!E26</f>
        <v>0</v>
      </c>
    </row>
    <row r="15" spans="1:5">
      <c r="A15" s="128" t="s">
        <v>139</v>
      </c>
      <c r="B15" s="129" t="s">
        <v>140</v>
      </c>
      <c r="C15" s="144">
        <v>0</v>
      </c>
      <c r="D15" s="144">
        <f>0</f>
        <v>0</v>
      </c>
      <c r="E15" s="144">
        <v>0</v>
      </c>
    </row>
    <row r="16" spans="1:5">
      <c r="A16" s="126" t="s">
        <v>141</v>
      </c>
      <c r="B16" s="127" t="s">
        <v>142</v>
      </c>
      <c r="C16" s="135">
        <v>0</v>
      </c>
      <c r="D16" s="135">
        <f>0+10000</f>
        <v>10000</v>
      </c>
      <c r="E16" s="135">
        <f>'OBEC '!E27</f>
        <v>5090</v>
      </c>
    </row>
    <row r="17" spans="1:5">
      <c r="A17" s="126" t="s">
        <v>143</v>
      </c>
      <c r="B17" s="127" t="s">
        <v>118</v>
      </c>
      <c r="C17" s="135">
        <v>0</v>
      </c>
      <c r="D17" s="135">
        <f>0</f>
        <v>0</v>
      </c>
      <c r="E17" s="135">
        <v>0</v>
      </c>
    </row>
    <row r="18" spans="1:5">
      <c r="A18" s="126" t="s">
        <v>177</v>
      </c>
      <c r="B18" s="127" t="s">
        <v>93</v>
      </c>
      <c r="C18" s="135">
        <v>0</v>
      </c>
      <c r="D18" s="135">
        <f>0</f>
        <v>0</v>
      </c>
      <c r="E18" s="135">
        <f>'OBEC '!E28</f>
        <v>0</v>
      </c>
    </row>
    <row r="19" spans="1:5">
      <c r="A19" s="128" t="s">
        <v>144</v>
      </c>
      <c r="B19" s="129" t="s">
        <v>27</v>
      </c>
      <c r="C19" s="144">
        <v>201851</v>
      </c>
      <c r="D19" s="144">
        <f>201851</f>
        <v>201851</v>
      </c>
      <c r="E19" s="144">
        <f>'OBEC '!E30</f>
        <v>201851</v>
      </c>
    </row>
    <row r="20" spans="1:5">
      <c r="A20" s="177" t="s">
        <v>100</v>
      </c>
      <c r="B20" s="178" t="s">
        <v>153</v>
      </c>
      <c r="C20" s="179">
        <v>91700</v>
      </c>
      <c r="D20" s="179">
        <f>91700+10000+90000</f>
        <v>191700</v>
      </c>
      <c r="E20" s="179">
        <f>'OBEC '!E31</f>
        <v>47104.69</v>
      </c>
    </row>
    <row r="21" spans="1:5" ht="13.5" thickBot="1">
      <c r="A21" s="180" t="s">
        <v>192</v>
      </c>
      <c r="B21" s="145" t="s">
        <v>195</v>
      </c>
      <c r="C21" s="181">
        <v>0</v>
      </c>
      <c r="D21" s="183">
        <f>0+1000</f>
        <v>1000</v>
      </c>
      <c r="E21" s="182">
        <f>'OBEC '!E32</f>
        <v>500</v>
      </c>
    </row>
    <row r="22" spans="1:5" ht="13.5" thickBot="1">
      <c r="A22" s="151"/>
      <c r="B22" s="152" t="s">
        <v>257</v>
      </c>
      <c r="C22" s="153"/>
      <c r="D22" s="154"/>
      <c r="E22" s="155">
        <f>E4-E8</f>
        <v>160858.30000000005</v>
      </c>
    </row>
  </sheetData>
  <mergeCells count="1">
    <mergeCell ref="A1:D1"/>
  </mergeCells>
  <phoneticPr fontId="1" type="noConversion"/>
  <printOptions horizontalCentered="1"/>
  <pageMargins left="0.78740157480314965" right="0.78740157480314965" top="0.47" bottom="0.65" header="0.28000000000000003" footer="0.5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1"/>
  <sheetViews>
    <sheetView tabSelected="1" workbookViewId="0">
      <selection sqref="A1:D1"/>
    </sheetView>
  </sheetViews>
  <sheetFormatPr defaultRowHeight="12.75"/>
  <cols>
    <col min="1" max="1" width="8.5703125" style="67" customWidth="1"/>
    <col min="2" max="2" width="27.5703125" style="67" bestFit="1" customWidth="1"/>
    <col min="3" max="4" width="12.7109375" style="67" bestFit="1" customWidth="1"/>
    <col min="5" max="5" width="15.7109375" style="67" bestFit="1" customWidth="1"/>
    <col min="6" max="6" width="14.140625" style="67" hidden="1" customWidth="1"/>
    <col min="7" max="16384" width="9.140625" style="67"/>
  </cols>
  <sheetData>
    <row r="1" spans="1:6" s="53" customFormat="1" ht="25.5" customHeight="1">
      <c r="A1" s="189" t="s">
        <v>173</v>
      </c>
      <c r="B1" s="189"/>
      <c r="C1" s="189"/>
      <c r="D1" s="189"/>
      <c r="E1" s="168">
        <f>'čerpání rozpočtu obce'!E1</f>
        <v>44926</v>
      </c>
    </row>
    <row r="2" spans="1:6">
      <c r="A2" s="167"/>
      <c r="B2" s="167"/>
    </row>
    <row r="3" spans="1:6" ht="13.5" thickBot="1"/>
    <row r="4" spans="1:6" ht="51.75" thickBot="1">
      <c r="A4" s="48" t="s">
        <v>4</v>
      </c>
      <c r="B4" s="49" t="s">
        <v>0</v>
      </c>
      <c r="C4" s="150" t="s">
        <v>197</v>
      </c>
      <c r="D4" s="150" t="s">
        <v>198</v>
      </c>
      <c r="E4" s="150" t="s">
        <v>199</v>
      </c>
      <c r="F4" s="150" t="s">
        <v>174</v>
      </c>
    </row>
    <row r="5" spans="1:6" ht="13.5" thickTop="1">
      <c r="A5" s="138"/>
      <c r="B5" s="139" t="s">
        <v>127</v>
      </c>
      <c r="C5" s="140">
        <f>SUM(C6:C10)</f>
        <v>13145000</v>
      </c>
      <c r="D5" s="140">
        <f>SUM(D6:D10)</f>
        <v>13536612.640000001</v>
      </c>
      <c r="E5" s="140">
        <f>SUM(E6:E10)</f>
        <v>12592752.49</v>
      </c>
      <c r="F5" s="140">
        <f>SUM(F6:F10)</f>
        <v>0</v>
      </c>
    </row>
    <row r="6" spans="1:6">
      <c r="A6" s="128" t="s">
        <v>89</v>
      </c>
      <c r="B6" s="129" t="s">
        <v>128</v>
      </c>
      <c r="C6" s="135">
        <f>'čerpání dílčích rozpočtů'!C6+'čerpání dílčích rozpočtů'!C33+'čerpání dílčích rozpočtů'!C58+'čerpání dílčích rozpočtů'!C82+'čerpání dílčích rozpočtů'!C107</f>
        <v>620000</v>
      </c>
      <c r="D6" s="135">
        <f>'čerpání dílčích rozpočtů'!D6+'čerpání dílčích rozpočtů'!D33+'čerpání dílčích rozpočtů'!D58+'čerpání dílčích rozpočtů'!D82+'čerpání dílčích rozpočtů'!D107</f>
        <v>620000</v>
      </c>
      <c r="E6" s="135">
        <f>'čerpání dílčích rozpočtů'!E6+'čerpání dílčích rozpočtů'!E33+'čerpání dílčích rozpočtů'!E58+'čerpání dílčích rozpočtů'!E82+'čerpání dílčích rozpočtů'!E107</f>
        <v>620000</v>
      </c>
      <c r="F6" s="135">
        <f>'čerpání dílčích rozpočtů'!F6+'čerpání dílčích rozpočtů'!F33+'čerpání dílčích rozpočtů'!F58+'čerpání dílčích rozpočtů'!F82+'čerpání dílčích rozpočtů'!F107</f>
        <v>0</v>
      </c>
    </row>
    <row r="7" spans="1:6">
      <c r="A7" s="126" t="s">
        <v>96</v>
      </c>
      <c r="B7" s="127" t="s">
        <v>172</v>
      </c>
      <c r="C7" s="135">
        <f>'čerpání dílčích rozpočtů'!C7+'čerpání dílčích rozpočtů'!C34+'čerpání dílčích rozpočtů'!C59+'čerpání dílčích rozpočtů'!C83+'čerpání dílčích rozpočtů'!C108</f>
        <v>11000000</v>
      </c>
      <c r="D7" s="135">
        <f>'čerpání dílčích rozpočtů'!D7+'čerpání dílčích rozpočtů'!D34+'čerpání dílčích rozpočtů'!D59+'čerpání dílčích rozpočtů'!D83+'čerpání dílčích rozpočtů'!D108</f>
        <v>11000000</v>
      </c>
      <c r="E7" s="135">
        <f>'čerpání dílčích rozpočtů'!E7+'čerpání dílčích rozpočtů'!E34+'čerpání dílčích rozpočtů'!E59+'čerpání dílčích rozpočtů'!E83+'čerpání dílčích rozpočtů'!E108</f>
        <v>10271483</v>
      </c>
      <c r="F7" s="135">
        <f>'čerpání dílčích rozpočtů'!F7+'čerpání dílčích rozpočtů'!F34+'čerpání dílčích rozpočtů'!F59+'čerpání dílčích rozpočtů'!F83+'čerpání dílčích rozpočtů'!F108</f>
        <v>0</v>
      </c>
    </row>
    <row r="8" spans="1:6">
      <c r="A8" s="126" t="s">
        <v>99</v>
      </c>
      <c r="B8" s="127" t="s">
        <v>129</v>
      </c>
      <c r="C8" s="135">
        <f>'čerpání dílčích rozpočtů'!C8+'čerpání dílčích rozpočtů'!C35+'čerpání dílčích rozpočtů'!C60+'čerpání dílčích rozpočtů'!C84+'čerpání dílčích rozpočtů'!C109</f>
        <v>350000</v>
      </c>
      <c r="D8" s="135">
        <f>'čerpání dílčích rozpočtů'!D8+'čerpání dílčích rozpočtů'!D35+'čerpání dílčích rozpočtů'!D60+'čerpání dílčích rozpočtů'!D84+'čerpání dílčích rozpočtů'!D109</f>
        <v>409612.64</v>
      </c>
      <c r="E8" s="135">
        <f>'čerpání dílčích rozpočtů'!E8+'čerpání dílčích rozpočtů'!E35+'čerpání dílčích rozpočtů'!E60+'čerpání dílčích rozpočtů'!E84+'čerpání dílčích rozpočtů'!E109</f>
        <v>404612.64</v>
      </c>
      <c r="F8" s="135">
        <f>'čerpání dílčích rozpočtů'!F8+'čerpání dílčích rozpočtů'!F35+'čerpání dílčích rozpočtů'!F60+'čerpání dílčích rozpočtů'!F84+'čerpání dílčích rozpočtů'!F109</f>
        <v>0</v>
      </c>
    </row>
    <row r="9" spans="1:6">
      <c r="A9" s="126" t="s">
        <v>76</v>
      </c>
      <c r="B9" s="127" t="s">
        <v>130</v>
      </c>
      <c r="C9" s="135">
        <f>'čerpání dílčích rozpočtů'!C9+'čerpání dílčích rozpočtů'!C36+'čerpání dílčích rozpočtů'!C61+'čerpání dílčích rozpočtů'!C85+'čerpání dílčích rozpočtů'!C110</f>
        <v>20000</v>
      </c>
      <c r="D9" s="135">
        <f>'čerpání dílčích rozpočtů'!D9+'čerpání dílčích rozpočtů'!D36+'čerpání dílčích rozpočtů'!D61+'čerpání dílčích rozpočtů'!D85+'čerpání dílčích rozpočtů'!D110</f>
        <v>140000</v>
      </c>
      <c r="E9" s="135">
        <f>'čerpání dílčích rozpočtů'!E9+'čerpání dílčích rozpočtů'!E36+'čerpání dílčích rozpočtů'!E61+'čerpání dílčích rozpočtů'!E85+'čerpání dílčích rozpočtů'!E110</f>
        <v>41902.5</v>
      </c>
      <c r="F9" s="135">
        <f>'čerpání dílčích rozpočtů'!F9+'čerpání dílčích rozpočtů'!F36+'čerpání dílčích rozpočtů'!F61+'čerpání dílčích rozpočtů'!F85+'čerpání dílčích rozpočtů'!F110</f>
        <v>0</v>
      </c>
    </row>
    <row r="10" spans="1:6" ht="13.5" thickBot="1">
      <c r="A10" s="141" t="s">
        <v>131</v>
      </c>
      <c r="B10" s="130" t="s">
        <v>119</v>
      </c>
      <c r="C10" s="135">
        <f>'čerpání dílčích rozpočtů'!C10+'čerpání dílčích rozpočtů'!C37+'čerpání dílčích rozpočtů'!C62+'čerpání dílčích rozpočtů'!C86+'čerpání dílčích rozpočtů'!C111</f>
        <v>1155000</v>
      </c>
      <c r="D10" s="135">
        <f>'čerpání dílčích rozpočtů'!D10+'čerpání dílčích rozpočtů'!D37+'čerpání dílčích rozpočtů'!D62+'čerpání dílčích rozpočtů'!D86+'čerpání dílčích rozpočtů'!D111</f>
        <v>1367000</v>
      </c>
      <c r="E10" s="135">
        <f>'čerpání dílčích rozpočtů'!E10+'čerpání dílčích rozpočtů'!E37+'čerpání dílčích rozpočtů'!E62+'čerpání dílčích rozpočtů'!E86+'čerpání dílčích rozpočtů'!E111</f>
        <v>1254754.3500000001</v>
      </c>
      <c r="F10" s="135">
        <f>'čerpání dílčích rozpočtů'!F10+'čerpání dílčích rozpočtů'!F37+'čerpání dílčích rozpočtů'!F62+'čerpání dílčích rozpočtů'!F86+'čerpání dílčích rozpočtů'!F111</f>
        <v>0</v>
      </c>
    </row>
    <row r="11" spans="1:6" ht="13.5" thickTop="1">
      <c r="A11" s="125"/>
      <c r="B11" s="139" t="s">
        <v>132</v>
      </c>
      <c r="C11" s="143">
        <f>SUM(C12:C24)</f>
        <v>13145000</v>
      </c>
      <c r="D11" s="143">
        <f>SUM(D12:D24)</f>
        <v>13536612.640000001</v>
      </c>
      <c r="E11" s="143">
        <f>SUM(E12:E24)</f>
        <v>12431894.189999999</v>
      </c>
      <c r="F11" s="143">
        <f>SUM(F12:F23)</f>
        <v>0</v>
      </c>
    </row>
    <row r="12" spans="1:6">
      <c r="A12" s="126" t="s">
        <v>133</v>
      </c>
      <c r="B12" s="127" t="s">
        <v>134</v>
      </c>
      <c r="C12" s="135">
        <f>'čerpání dílčích rozpočtů'!C12+'čerpání dílčích rozpočtů'!C39+'čerpání dílčích rozpočtů'!C64+'čerpání dílčích rozpočtů'!C88+'čerpání dílčích rozpočtů'!C113</f>
        <v>1169249</v>
      </c>
      <c r="D12" s="135">
        <f>'čerpání dílčích rozpočtů'!D12+'čerpání dílčích rozpočtů'!D39+'čerpání dílčích rozpočtů'!D64+'čerpání dílčích rozpočtů'!D88+'čerpání dílčích rozpočtů'!D113</f>
        <v>1266758</v>
      </c>
      <c r="E12" s="135">
        <f>'čerpání dílčích rozpočtů'!E12+'čerpání dílčích rozpočtů'!E39+'čerpání dílčích rozpočtů'!E64+'čerpání dílčích rozpočtů'!E88+'čerpání dílčích rozpočtů'!E113</f>
        <v>1135185.82</v>
      </c>
      <c r="F12" s="135">
        <f>'čerpání dílčích rozpočtů'!F12+'čerpání dílčích rozpočtů'!F39+'čerpání dílčích rozpočtů'!F64+'čerpání dílčích rozpočtů'!F88+'čerpání dílčích rozpočtů'!F113</f>
        <v>0</v>
      </c>
    </row>
    <row r="13" spans="1:6">
      <c r="A13" s="128" t="s">
        <v>135</v>
      </c>
      <c r="B13" s="129" t="s">
        <v>33</v>
      </c>
      <c r="C13" s="144">
        <f>'čerpání dílčích rozpočtů'!C13+'čerpání dílčích rozpočtů'!C40+'čerpání dílčích rozpočtů'!C65+'čerpání dílčích rozpočtů'!C89+'čerpání dílčích rozpočtů'!C114</f>
        <v>50000</v>
      </c>
      <c r="D13" s="144">
        <f>'čerpání dílčích rozpočtů'!D13+'čerpání dílčích rozpočtů'!D40+'čerpání dílčích rozpočtů'!D65+'čerpání dílčích rozpočtů'!D89+'čerpání dílčích rozpočtů'!D114</f>
        <v>60000</v>
      </c>
      <c r="E13" s="144">
        <f>'čerpání dílčích rozpočtů'!E13+'čerpání dílčích rozpočtů'!E40+'čerpání dílčích rozpočtů'!E65+'čerpání dílčích rozpočtů'!E89+'čerpání dílčích rozpočtů'!E114</f>
        <v>5269.5</v>
      </c>
      <c r="F13" s="144">
        <f>'čerpání dílčích rozpočtů'!F13+'čerpání dílčích rozpočtů'!F40+'čerpání dílčích rozpočtů'!F65+'čerpání dílčích rozpočtů'!F89+'čerpání dílčích rozpočtů'!F114</f>
        <v>0</v>
      </c>
    </row>
    <row r="14" spans="1:6">
      <c r="A14" s="128" t="s">
        <v>136</v>
      </c>
      <c r="B14" s="129" t="s">
        <v>17</v>
      </c>
      <c r="C14" s="144">
        <f>'čerpání dílčích rozpočtů'!C14+'čerpání dílčích rozpočtů'!C41+'čerpání dílčích rozpočtů'!C66+'čerpání dílčích rozpočtů'!C90+'čerpání dílčích rozpočtů'!C115</f>
        <v>2500</v>
      </c>
      <c r="D14" s="144">
        <f>'čerpání dílčích rozpočtů'!D14+'čerpání dílčích rozpočtů'!D41+'čerpání dílčích rozpočtů'!D66+'čerpání dílčích rozpočtů'!D90+'čerpání dílčích rozpočtů'!D115</f>
        <v>2500</v>
      </c>
      <c r="E14" s="144">
        <f>'čerpání dílčích rozpočtů'!E14+'čerpání dílčích rozpočtů'!E41+'čerpání dílčích rozpočtů'!E66+'čerpání dílčích rozpočtů'!E90+'čerpání dílčích rozpočtů'!E115</f>
        <v>0</v>
      </c>
      <c r="F14" s="144">
        <f>'čerpání dílčích rozpočtů'!F14+'čerpání dílčích rozpočtů'!F41+'čerpání dílčích rozpočtů'!F66+'čerpání dílčích rozpočtů'!F90+'čerpání dílčích rozpočtů'!F115</f>
        <v>0</v>
      </c>
    </row>
    <row r="15" spans="1:6">
      <c r="A15" s="128" t="s">
        <v>108</v>
      </c>
      <c r="B15" s="129" t="s">
        <v>25</v>
      </c>
      <c r="C15" s="144">
        <f>'čerpání dílčích rozpočtů'!C15+'čerpání dílčích rozpočtů'!C42+'čerpání dílčích rozpočtů'!C67+'čerpání dílčích rozpočtů'!C91+'čerpání dílčích rozpočtů'!C116</f>
        <v>314000</v>
      </c>
      <c r="D15" s="144">
        <f>'čerpání dílčích rozpočtů'!D15+'čerpání dílčích rozpočtů'!D42+'čerpání dílčích rozpočtů'!D67+'čerpání dílčích rozpočtů'!D91+'čerpání dílčích rozpočtů'!D116</f>
        <v>576763</v>
      </c>
      <c r="E15" s="144">
        <f>'čerpání dílčích rozpočtů'!E15+'čerpání dílčích rozpočtů'!E42+'čerpání dílčích rozpočtů'!E67+'čerpání dílčích rozpočtů'!E91+'čerpání dílčích rozpočtů'!E116</f>
        <v>549145.54</v>
      </c>
      <c r="F15" s="144">
        <f>'čerpání dílčích rozpočtů'!F15+'čerpání dílčích rozpočtů'!F42+'čerpání dílčích rozpočtů'!F67+'čerpání dílčích rozpočtů'!F91+'čerpání dílčích rozpočtů'!F116</f>
        <v>0</v>
      </c>
    </row>
    <row r="16" spans="1:6">
      <c r="A16" s="128" t="s">
        <v>137</v>
      </c>
      <c r="B16" s="129" t="s">
        <v>62</v>
      </c>
      <c r="C16" s="144">
        <f>'čerpání dílčích rozpočtů'!C16+'čerpání dílčích rozpočtů'!C43+'čerpání dílčích rozpočtů'!C68+'čerpání dílčích rozpočtů'!C92+'čerpání dílčích rozpočtů'!C117</f>
        <v>8275000</v>
      </c>
      <c r="D16" s="144">
        <f>'čerpání dílčích rozpočtů'!D16+'čerpání dílčích rozpočtů'!D43+'čerpání dílčích rozpočtů'!D68+'čerpání dílčích rozpočtů'!D92+'čerpání dílčích rozpočtů'!D117</f>
        <v>8052976</v>
      </c>
      <c r="E16" s="144">
        <f>'čerpání dílčích rozpočtů'!E16+'čerpání dílčích rozpočtů'!E43+'čerpání dílčích rozpočtů'!E68+'čerpání dílčích rozpočtů'!E92+'čerpání dílčích rozpočtů'!E117</f>
        <v>7567472</v>
      </c>
      <c r="F16" s="144">
        <f>'čerpání dílčích rozpočtů'!F16+'čerpání dílčích rozpočtů'!F43+'čerpání dílčích rozpočtů'!F68+'čerpání dílčích rozpočtů'!F92+'čerpání dílčích rozpočtů'!F117</f>
        <v>0</v>
      </c>
    </row>
    <row r="17" spans="1:6">
      <c r="A17" s="128" t="s">
        <v>114</v>
      </c>
      <c r="B17" s="129" t="s">
        <v>138</v>
      </c>
      <c r="C17" s="144">
        <f>'čerpání dílčích rozpočtů'!C17+'čerpání dílčích rozpočtů'!C44+'čerpání dílčích rozpočtů'!C69+'čerpání dílčích rozpočtů'!C93+'čerpání dílčích rozpočtů'!C118</f>
        <v>2794200</v>
      </c>
      <c r="D17" s="144">
        <f>'čerpání dílčích rozpočtů'!D17+'čerpání dílčích rozpočtů'!D44+'čerpání dílčích rozpočtů'!D69+'čerpání dílčích rozpočtů'!D93+'čerpání dílčích rozpočtů'!D118</f>
        <v>2761844</v>
      </c>
      <c r="E17" s="144">
        <f>'čerpání dílčích rozpočtů'!E17+'čerpání dílčích rozpočtů'!E44+'čerpání dílčích rozpočtů'!E69+'čerpání dílčích rozpočtů'!E93+'čerpání dílčích rozpočtů'!E118</f>
        <v>2536138</v>
      </c>
      <c r="F17" s="144">
        <f>'čerpání dílčích rozpočtů'!F17+'čerpání dílčích rozpočtů'!F44+'čerpání dílčích rozpočtů'!F69+'čerpání dílčích rozpočtů'!F93+'čerpání dílčích rozpočtů'!F118</f>
        <v>0</v>
      </c>
    </row>
    <row r="18" spans="1:6">
      <c r="A18" s="128" t="s">
        <v>139</v>
      </c>
      <c r="B18" s="129" t="s">
        <v>140</v>
      </c>
      <c r="C18" s="144">
        <f>'čerpání dílčích rozpočtů'!C18+'čerpání dílčích rozpočtů'!C45+'čerpání dílčích rozpočtů'!C70+'čerpání dílčích rozpočtů'!C94+'čerpání dílčích rozpočtů'!C119</f>
        <v>35000</v>
      </c>
      <c r="D18" s="144">
        <f>'čerpání dílčích rozpočtů'!D18+'čerpání dílčích rozpočtů'!D45+'čerpání dílčích rozpočtů'!D70+'čerpání dílčích rozpočtů'!D94+'čerpání dílčích rozpočtů'!D119</f>
        <v>35000</v>
      </c>
      <c r="E18" s="144">
        <f>'čerpání dílčích rozpočtů'!E18+'čerpání dílčích rozpočtů'!E45+'čerpání dílčích rozpočtů'!E70+'čerpání dílčích rozpočtů'!E94+'čerpání dílčích rozpočtů'!E119</f>
        <v>32207</v>
      </c>
      <c r="F18" s="144">
        <f>'čerpání dílčích rozpočtů'!F18+'čerpání dílčích rozpočtů'!F45+'čerpání dílčích rozpočtů'!F70+'čerpání dílčích rozpočtů'!F94+'čerpání dílčích rozpočtů'!F119</f>
        <v>0</v>
      </c>
    </row>
    <row r="19" spans="1:6">
      <c r="A19" s="126" t="s">
        <v>141</v>
      </c>
      <c r="B19" s="127" t="s">
        <v>142</v>
      </c>
      <c r="C19" s="144">
        <f>'čerpání dílčích rozpočtů'!C19+'čerpání dílčích rozpočtů'!C46+'čerpání dílčích rozpočtů'!C71+'čerpání dílčích rozpočtů'!C95+'čerpání dílčích rozpočtů'!C120</f>
        <v>161500</v>
      </c>
      <c r="D19" s="144">
        <f>'čerpání dílčích rozpočtů'!D19+'čerpání dílčích rozpočtů'!D46+'čerpání dílčích rozpočtů'!D71+'čerpání dílčích rozpočtů'!D95+'čerpání dílčích rozpočtů'!D120</f>
        <v>171500</v>
      </c>
      <c r="E19" s="144">
        <f>'čerpání dílčích rozpočtů'!E19+'čerpání dílčích rozpočtů'!E46+'čerpání dílčích rozpočtů'!E71+'čerpání dílčích rozpočtů'!E95+'čerpání dílčích rozpočtů'!E120</f>
        <v>151885</v>
      </c>
      <c r="F19" s="144">
        <f>'čerpání dílčích rozpočtů'!F19+'čerpání dílčích rozpočtů'!F46+'čerpání dílčích rozpočtů'!F71+'čerpání dílčích rozpočtů'!F95+'čerpání dílčích rozpočtů'!F120</f>
        <v>0</v>
      </c>
    </row>
    <row r="20" spans="1:6">
      <c r="A20" s="126" t="s">
        <v>143</v>
      </c>
      <c r="B20" s="127" t="s">
        <v>118</v>
      </c>
      <c r="C20" s="144">
        <f>'čerpání dílčích rozpočtů'!C20+'čerpání dílčích rozpočtů'!C47+'čerpání dílčích rozpočtů'!C72+'čerpání dílčích rozpočtů'!C96+'čerpání dílčích rozpočtů'!C121</f>
        <v>50000</v>
      </c>
      <c r="D20" s="144">
        <f>'čerpání dílčích rozpočtů'!D20+'čerpání dílčích rozpočtů'!D47+'čerpání dílčích rozpočtů'!D72+'čerpání dílčích rozpočtů'!D96+'čerpání dílčích rozpočtů'!D121</f>
        <v>76517</v>
      </c>
      <c r="E20" s="144">
        <f>'čerpání dílčích rozpočtů'!E20+'čerpání dílčích rozpočtů'!E47+'čerpání dílčích rozpočtů'!E72+'čerpání dílčích rozpočtů'!E96+'čerpání dílčích rozpočtů'!E121</f>
        <v>73277</v>
      </c>
      <c r="F20" s="144">
        <f>'čerpání dílčích rozpočtů'!F20+'čerpání dílčích rozpočtů'!F47+'čerpání dílčích rozpočtů'!F72+'čerpání dílčích rozpočtů'!F96+'čerpání dílčích rozpočtů'!F121</f>
        <v>0</v>
      </c>
    </row>
    <row r="21" spans="1:6">
      <c r="A21" s="126" t="s">
        <v>178</v>
      </c>
      <c r="B21" s="127" t="s">
        <v>93</v>
      </c>
      <c r="C21" s="144">
        <f>'čerpání dílčích rozpočtů'!C21</f>
        <v>0</v>
      </c>
      <c r="D21" s="144">
        <f>'čerpání dílčích rozpočtů'!D21</f>
        <v>0</v>
      </c>
      <c r="E21" s="144">
        <f>'čerpání dílčích rozpočtů'!E21</f>
        <v>0</v>
      </c>
      <c r="F21" s="144"/>
    </row>
    <row r="22" spans="1:6">
      <c r="A22" s="128" t="s">
        <v>144</v>
      </c>
      <c r="B22" s="129" t="s">
        <v>27</v>
      </c>
      <c r="C22" s="144">
        <f>'čerpání dílčích rozpočtů'!C22+'čerpání dílčích rozpočtů'!C48+'čerpání dílčích rozpočtů'!C73+'čerpání dílčích rozpočtů'!C97+'čerpání dílčích rozpočtů'!C122</f>
        <v>201851</v>
      </c>
      <c r="D22" s="144">
        <f>'čerpání dílčích rozpočtů'!D22+'čerpání dílčích rozpočtů'!D48+'čerpání dílčích rozpočtů'!D73+'čerpání dílčích rozpočtů'!D97+'čerpání dílčích rozpočtů'!D122</f>
        <v>201851</v>
      </c>
      <c r="E22" s="144">
        <f>'čerpání dílčích rozpočtů'!E22+'čerpání dílčích rozpočtů'!E48+'čerpání dílčích rozpočtů'!E73+'čerpání dílčích rozpočtů'!E97+'čerpání dílčích rozpočtů'!E122</f>
        <v>201851</v>
      </c>
      <c r="F22" s="144">
        <f>'čerpání dílčích rozpočtů'!F22+'čerpání dílčích rozpočtů'!F48+'čerpání dílčích rozpočtů'!F73+'čerpání dílčích rozpočtů'!F97+'čerpání dílčích rozpočtů'!F122</f>
        <v>0</v>
      </c>
    </row>
    <row r="23" spans="1:6" ht="13.5" thickBot="1">
      <c r="A23" s="177" t="s">
        <v>100</v>
      </c>
      <c r="B23" s="178" t="s">
        <v>153</v>
      </c>
      <c r="C23" s="179">
        <f>'čerpání dílčích rozpočtů'!C23+'čerpání dílčích rozpočtů'!C49+'čerpání dílčích rozpočtů'!C74+'čerpání dílčích rozpočtů'!C98+'čerpání dílčích rozpočtů'!C123</f>
        <v>91700</v>
      </c>
      <c r="D23" s="179">
        <f>'čerpání dílčích rozpočtů'!D23+'čerpání dílčích rozpočtů'!D49+'čerpání dílčích rozpočtů'!D74+'čerpání dílčích rozpočtů'!D98+'čerpání dílčích rozpočtů'!D123</f>
        <v>329903.64</v>
      </c>
      <c r="E23" s="179">
        <f>'čerpání dílčích rozpočtů'!E23+'čerpání dílčích rozpočtů'!E49+'čerpání dílčích rozpočtů'!E74+'čerpání dílčích rozpočtů'!E98+'čerpání dílčích rozpočtů'!E123</f>
        <v>178963.33000000002</v>
      </c>
      <c r="F23" s="146">
        <f>'čerpání dílčích rozpočtů'!F23+'čerpání dílčích rozpočtů'!F49+'čerpání dílčích rozpočtů'!F74+'čerpání dílčích rozpočtů'!F98+'čerpání dílčích rozpočtů'!F123</f>
        <v>0</v>
      </c>
    </row>
    <row r="24" spans="1:6" ht="13.5" thickBot="1">
      <c r="A24" s="147" t="s">
        <v>192</v>
      </c>
      <c r="B24" s="145" t="s">
        <v>195</v>
      </c>
      <c r="C24" s="146">
        <f>'čerpání dílčích rozpočtů'!C24+'čerpání dílčích rozpočtů'!C50+'čerpání dílčích rozpočtů'!C75+'čerpání dílčích rozpočtů'!C99+'čerpání dílčích rozpočtů'!C124</f>
        <v>0</v>
      </c>
      <c r="D24" s="146">
        <f>'čerpání dílčích rozpočtů'!D24+'čerpání dílčích rozpočtů'!D50+'čerpání dílčích rozpočtů'!D75+'čerpání dílčích rozpočtů'!D99+'čerpání dílčích rozpočtů'!D124</f>
        <v>1000</v>
      </c>
      <c r="E24" s="146">
        <f>'čerpání dílčích rozpočtů'!E24+'čerpání dílčích rozpočtů'!E50+'čerpání dílčích rozpočtů'!E75+'čerpání dílčích rozpočtů'!E99+'čerpání dílčích rozpočtů'!E124</f>
        <v>500</v>
      </c>
      <c r="F24" s="174"/>
    </row>
    <row r="27" spans="1:6" ht="25.5" customHeight="1">
      <c r="A27" s="192" t="s">
        <v>208</v>
      </c>
      <c r="B27" s="192"/>
      <c r="C27" s="192"/>
      <c r="D27" s="192"/>
      <c r="E27" s="192"/>
    </row>
    <row r="29" spans="1:6">
      <c r="A29" s="173" t="s">
        <v>205</v>
      </c>
    </row>
    <row r="30" spans="1:6" ht="27" customHeight="1">
      <c r="A30" s="184" t="s">
        <v>206</v>
      </c>
      <c r="B30" s="190" t="s">
        <v>207</v>
      </c>
      <c r="C30" s="190"/>
      <c r="D30" s="190"/>
      <c r="E30" s="190"/>
    </row>
    <row r="32" spans="1:6">
      <c r="A32" s="173" t="s">
        <v>213</v>
      </c>
    </row>
    <row r="33" spans="1:5" ht="27" customHeight="1">
      <c r="A33" s="184" t="s">
        <v>206</v>
      </c>
      <c r="B33" s="190" t="s">
        <v>214</v>
      </c>
      <c r="C33" s="190"/>
      <c r="D33" s="190"/>
      <c r="E33" s="190"/>
    </row>
    <row r="35" spans="1:5">
      <c r="A35" s="173" t="s">
        <v>215</v>
      </c>
    </row>
    <row r="36" spans="1:5" ht="27" customHeight="1">
      <c r="A36" s="184" t="s">
        <v>206</v>
      </c>
      <c r="B36" s="190" t="s">
        <v>216</v>
      </c>
      <c r="C36" s="190"/>
      <c r="D36" s="190"/>
      <c r="E36" s="190"/>
    </row>
    <row r="38" spans="1:5">
      <c r="A38" s="173" t="s">
        <v>217</v>
      </c>
    </row>
    <row r="39" spans="1:5" ht="27" customHeight="1">
      <c r="A39" s="184" t="s">
        <v>206</v>
      </c>
      <c r="B39" s="190" t="s">
        <v>218</v>
      </c>
      <c r="C39" s="190"/>
      <c r="D39" s="190"/>
      <c r="E39" s="190"/>
    </row>
    <row r="40" spans="1:5" ht="27" customHeight="1">
      <c r="A40" s="184" t="s">
        <v>219</v>
      </c>
      <c r="B40" s="190" t="s">
        <v>220</v>
      </c>
      <c r="C40" s="190"/>
      <c r="D40" s="190"/>
      <c r="E40" s="190"/>
    </row>
    <row r="41" spans="1:5" ht="27" customHeight="1">
      <c r="A41" s="184" t="s">
        <v>221</v>
      </c>
      <c r="B41" s="190" t="s">
        <v>222</v>
      </c>
      <c r="C41" s="190"/>
      <c r="D41" s="190"/>
      <c r="E41" s="190"/>
    </row>
    <row r="43" spans="1:5">
      <c r="A43" s="173" t="s">
        <v>223</v>
      </c>
    </row>
    <row r="44" spans="1:5" ht="27" customHeight="1">
      <c r="A44" s="184" t="s">
        <v>206</v>
      </c>
      <c r="B44" s="190" t="s">
        <v>224</v>
      </c>
      <c r="C44" s="190"/>
      <c r="D44" s="190"/>
      <c r="E44" s="190"/>
    </row>
    <row r="45" spans="1:5" ht="39.75" customHeight="1">
      <c r="A45" s="184" t="s">
        <v>219</v>
      </c>
      <c r="B45" s="190" t="s">
        <v>225</v>
      </c>
      <c r="C45" s="190"/>
      <c r="D45" s="190"/>
      <c r="E45" s="190"/>
    </row>
    <row r="46" spans="1:5">
      <c r="A46" s="184"/>
      <c r="B46" s="185"/>
      <c r="C46" s="185"/>
      <c r="D46" s="185"/>
      <c r="E46" s="185"/>
    </row>
    <row r="48" spans="1:5">
      <c r="A48" s="173" t="s">
        <v>226</v>
      </c>
    </row>
    <row r="49" spans="1:5">
      <c r="A49" s="184" t="s">
        <v>206</v>
      </c>
      <c r="B49" s="190" t="s">
        <v>227</v>
      </c>
      <c r="C49" s="190"/>
      <c r="D49" s="190"/>
      <c r="E49" s="190"/>
    </row>
    <row r="50" spans="1:5">
      <c r="B50" s="67" t="s">
        <v>228</v>
      </c>
    </row>
    <row r="51" spans="1:5">
      <c r="B51" s="67" t="s">
        <v>230</v>
      </c>
    </row>
    <row r="52" spans="1:5">
      <c r="B52" s="67" t="s">
        <v>229</v>
      </c>
    </row>
    <row r="53" spans="1:5">
      <c r="B53" s="67" t="s">
        <v>231</v>
      </c>
    </row>
    <row r="55" spans="1:5">
      <c r="A55" s="173" t="s">
        <v>234</v>
      </c>
    </row>
    <row r="56" spans="1:5">
      <c r="A56" s="184" t="s">
        <v>206</v>
      </c>
      <c r="B56" s="190" t="s">
        <v>235</v>
      </c>
      <c r="C56" s="190"/>
      <c r="D56" s="190"/>
      <c r="E56" s="190"/>
    </row>
    <row r="57" spans="1:5">
      <c r="B57" s="67" t="s">
        <v>236</v>
      </c>
    </row>
    <row r="58" spans="1:5">
      <c r="B58" s="67" t="s">
        <v>237</v>
      </c>
    </row>
    <row r="59" spans="1:5">
      <c r="B59" s="67" t="s">
        <v>238</v>
      </c>
    </row>
    <row r="60" spans="1:5">
      <c r="B60" s="67" t="s">
        <v>239</v>
      </c>
    </row>
    <row r="61" spans="1:5">
      <c r="A61" s="67" t="s">
        <v>219</v>
      </c>
      <c r="B61" s="67" t="s">
        <v>240</v>
      </c>
    </row>
    <row r="62" spans="1:5">
      <c r="B62" s="67" t="s">
        <v>241</v>
      </c>
    </row>
    <row r="63" spans="1:5">
      <c r="B63" s="67" t="s">
        <v>242</v>
      </c>
    </row>
    <row r="65" spans="1:7">
      <c r="A65" s="173" t="s">
        <v>244</v>
      </c>
    </row>
    <row r="66" spans="1:7" ht="24.75" customHeight="1">
      <c r="A66" s="184" t="s">
        <v>206</v>
      </c>
      <c r="B66" s="190" t="s">
        <v>245</v>
      </c>
      <c r="C66" s="190"/>
      <c r="D66" s="190"/>
      <c r="E66" s="190"/>
      <c r="F66" s="190"/>
      <c r="G66" s="190"/>
    </row>
    <row r="67" spans="1:7" ht="25.5" customHeight="1">
      <c r="A67" s="184" t="s">
        <v>219</v>
      </c>
      <c r="B67" s="190" t="s">
        <v>246</v>
      </c>
      <c r="C67" s="190"/>
      <c r="D67" s="190"/>
      <c r="E67" s="190"/>
      <c r="F67" s="190"/>
      <c r="G67" s="190"/>
    </row>
    <row r="68" spans="1:7" ht="25.5" customHeight="1">
      <c r="A68" s="184" t="s">
        <v>221</v>
      </c>
      <c r="B68" s="190" t="s">
        <v>247</v>
      </c>
      <c r="C68" s="190"/>
      <c r="D68" s="190"/>
      <c r="E68" s="190"/>
      <c r="F68" s="190"/>
      <c r="G68" s="190"/>
    </row>
    <row r="70" spans="1:7">
      <c r="A70" s="173" t="s">
        <v>251</v>
      </c>
    </row>
    <row r="71" spans="1:7" ht="37.5" customHeight="1">
      <c r="A71" s="184" t="s">
        <v>206</v>
      </c>
      <c r="B71" s="190" t="s">
        <v>252</v>
      </c>
      <c r="C71" s="190"/>
      <c r="D71" s="190"/>
      <c r="E71" s="190"/>
      <c r="F71" s="190"/>
      <c r="G71" s="190"/>
    </row>
    <row r="72" spans="1:7" ht="25.5" customHeight="1">
      <c r="A72" s="184" t="s">
        <v>219</v>
      </c>
      <c r="B72" s="190" t="s">
        <v>253</v>
      </c>
      <c r="C72" s="190"/>
      <c r="D72" s="190"/>
      <c r="E72" s="190"/>
      <c r="F72" s="190"/>
      <c r="G72" s="190"/>
    </row>
    <row r="73" spans="1:7" ht="25.5" customHeight="1">
      <c r="A73" s="184" t="s">
        <v>221</v>
      </c>
      <c r="B73" s="190" t="s">
        <v>254</v>
      </c>
      <c r="C73" s="190"/>
      <c r="D73" s="190"/>
      <c r="E73" s="190"/>
      <c r="F73" s="190"/>
      <c r="G73" s="190"/>
    </row>
    <row r="74" spans="1:7" ht="27" customHeight="1">
      <c r="A74" s="184" t="s">
        <v>255</v>
      </c>
      <c r="B74" s="190" t="s">
        <v>256</v>
      </c>
      <c r="C74" s="190"/>
      <c r="D74" s="190"/>
      <c r="E74" s="190"/>
      <c r="F74" s="190"/>
      <c r="G74" s="190"/>
    </row>
    <row r="76" spans="1:7">
      <c r="A76" s="173" t="s">
        <v>262</v>
      </c>
    </row>
    <row r="77" spans="1:7" ht="24.75" customHeight="1">
      <c r="A77" s="184" t="s">
        <v>206</v>
      </c>
      <c r="B77" s="190" t="s">
        <v>263</v>
      </c>
      <c r="C77" s="190"/>
      <c r="D77" s="190"/>
      <c r="E77" s="190"/>
      <c r="F77" s="190"/>
      <c r="G77" s="190"/>
    </row>
    <row r="78" spans="1:7" ht="39.75" customHeight="1">
      <c r="A78" s="184" t="s">
        <v>219</v>
      </c>
      <c r="B78" s="190" t="s">
        <v>264</v>
      </c>
      <c r="C78" s="190"/>
      <c r="D78" s="190"/>
      <c r="E78" s="190"/>
      <c r="F78" s="190"/>
      <c r="G78" s="190"/>
    </row>
    <row r="79" spans="1:7" ht="31.5" customHeight="1">
      <c r="A79" s="184" t="s">
        <v>221</v>
      </c>
      <c r="B79" s="190" t="s">
        <v>265</v>
      </c>
      <c r="C79" s="190"/>
      <c r="D79" s="190"/>
      <c r="E79" s="190"/>
      <c r="F79" s="190"/>
      <c r="G79" s="190"/>
    </row>
    <row r="80" spans="1:7">
      <c r="B80" s="191" t="s">
        <v>266</v>
      </c>
      <c r="C80" s="191"/>
      <c r="D80" s="191"/>
      <c r="E80" s="191"/>
      <c r="F80" s="191"/>
      <c r="G80" s="191"/>
    </row>
    <row r="81" spans="2:7">
      <c r="B81" s="191" t="s">
        <v>267</v>
      </c>
      <c r="C81" s="191"/>
      <c r="D81" s="191"/>
      <c r="E81" s="191"/>
      <c r="F81" s="191"/>
      <c r="G81" s="191"/>
    </row>
  </sheetData>
  <mergeCells count="24">
    <mergeCell ref="A1:D1"/>
    <mergeCell ref="B33:E33"/>
    <mergeCell ref="B36:E36"/>
    <mergeCell ref="B44:E44"/>
    <mergeCell ref="B39:E39"/>
    <mergeCell ref="B40:E40"/>
    <mergeCell ref="B41:E41"/>
    <mergeCell ref="B30:E30"/>
    <mergeCell ref="A27:E27"/>
    <mergeCell ref="B71:G71"/>
    <mergeCell ref="B72:G72"/>
    <mergeCell ref="B73:G73"/>
    <mergeCell ref="B74:G74"/>
    <mergeCell ref="B45:E45"/>
    <mergeCell ref="B66:G66"/>
    <mergeCell ref="B67:G67"/>
    <mergeCell ref="B68:G68"/>
    <mergeCell ref="B56:E56"/>
    <mergeCell ref="B49:E49"/>
    <mergeCell ref="B77:G77"/>
    <mergeCell ref="B78:G78"/>
    <mergeCell ref="B79:G79"/>
    <mergeCell ref="B80:G80"/>
    <mergeCell ref="B81:G81"/>
  </mergeCells>
  <pageMargins left="0.7" right="0.7" top="0.56000000000000005" bottom="0.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23"/>
  <sheetViews>
    <sheetView workbookViewId="0">
      <selection sqref="A1:F1"/>
    </sheetView>
  </sheetViews>
  <sheetFormatPr defaultRowHeight="12.75"/>
  <cols>
    <col min="1" max="1" width="8.5703125" style="67" customWidth="1"/>
    <col min="2" max="2" width="27.5703125" style="67" bestFit="1" customWidth="1"/>
    <col min="3" max="4" width="12.7109375" style="67" bestFit="1" customWidth="1"/>
    <col min="5" max="5" width="14.42578125" style="67" customWidth="1"/>
    <col min="6" max="6" width="11.7109375" style="67" hidden="1" customWidth="1"/>
    <col min="7" max="16384" width="9.140625" style="67"/>
  </cols>
  <sheetData>
    <row r="1" spans="1:6" s="53" customFormat="1" ht="25.5" customHeight="1">
      <c r="A1" s="189" t="s">
        <v>200</v>
      </c>
      <c r="B1" s="189"/>
      <c r="C1" s="189"/>
      <c r="D1" s="189"/>
      <c r="E1" s="189"/>
      <c r="F1" s="189"/>
    </row>
    <row r="2" spans="1:6">
      <c r="A2" s="167"/>
      <c r="B2" s="167"/>
    </row>
    <row r="3" spans="1:6" ht="13.5" thickBot="1"/>
    <row r="4" spans="1:6" ht="51.75" thickBot="1">
      <c r="A4" s="48" t="s">
        <v>4</v>
      </c>
      <c r="B4" s="49" t="s">
        <v>0</v>
      </c>
      <c r="C4" s="150" t="s">
        <v>197</v>
      </c>
      <c r="D4" s="150" t="s">
        <v>198</v>
      </c>
      <c r="E4" s="150" t="s">
        <v>199</v>
      </c>
      <c r="F4" s="150" t="s">
        <v>174</v>
      </c>
    </row>
    <row r="5" spans="1:6" ht="13.5" thickTop="1">
      <c r="A5" s="138"/>
      <c r="B5" s="139" t="s">
        <v>127</v>
      </c>
      <c r="C5" s="140">
        <f>SUM(C6:C10)</f>
        <v>865000</v>
      </c>
      <c r="D5" s="140">
        <f>SUM(D6:D10)</f>
        <v>1017000</v>
      </c>
      <c r="E5" s="140">
        <f>SUM(E6:E10)</f>
        <v>918483.8</v>
      </c>
      <c r="F5" s="140">
        <f>SUM(F6:F10)</f>
        <v>0</v>
      </c>
    </row>
    <row r="6" spans="1:6">
      <c r="A6" s="128" t="s">
        <v>89</v>
      </c>
      <c r="B6" s="129" t="s">
        <v>128</v>
      </c>
      <c r="C6" s="135">
        <f>'čerpání rozpočtu obce'!C5</f>
        <v>620000</v>
      </c>
      <c r="D6" s="135">
        <f>'čerpání rozpočtu obce'!D5</f>
        <v>620000</v>
      </c>
      <c r="E6" s="135">
        <f>'čerpání rozpočtu obce'!E5</f>
        <v>620000</v>
      </c>
      <c r="F6" s="135">
        <v>0</v>
      </c>
    </row>
    <row r="7" spans="1:6">
      <c r="A7" s="126" t="s">
        <v>96</v>
      </c>
      <c r="B7" s="127" t="s">
        <v>172</v>
      </c>
      <c r="C7" s="135">
        <v>0</v>
      </c>
      <c r="D7" s="135">
        <v>0</v>
      </c>
      <c r="E7" s="135">
        <v>0</v>
      </c>
      <c r="F7" s="135">
        <v>0</v>
      </c>
    </row>
    <row r="8" spans="1:6">
      <c r="A8" s="126" t="s">
        <v>99</v>
      </c>
      <c r="B8" s="127" t="s">
        <v>129</v>
      </c>
      <c r="C8" s="135">
        <v>0</v>
      </c>
      <c r="D8" s="135">
        <v>0</v>
      </c>
      <c r="E8" s="135">
        <v>0</v>
      </c>
      <c r="F8" s="135">
        <v>0</v>
      </c>
    </row>
    <row r="9" spans="1:6">
      <c r="A9" s="126" t="s">
        <v>76</v>
      </c>
      <c r="B9" s="127" t="s">
        <v>130</v>
      </c>
      <c r="C9" s="135">
        <f>'čerpání rozpočtu obce'!C6</f>
        <v>20000</v>
      </c>
      <c r="D9" s="135">
        <f>'čerpání rozpočtu obce'!D6</f>
        <v>140000</v>
      </c>
      <c r="E9" s="135">
        <f>'čerpání rozpočtu obce'!E6</f>
        <v>41902.5</v>
      </c>
      <c r="F9" s="135">
        <v>0</v>
      </c>
    </row>
    <row r="10" spans="1:6" ht="13.5" thickBot="1">
      <c r="A10" s="141" t="s">
        <v>131</v>
      </c>
      <c r="B10" s="130" t="s">
        <v>119</v>
      </c>
      <c r="C10" s="142">
        <f>'čerpání rozpočtu obce'!C7</f>
        <v>225000</v>
      </c>
      <c r="D10" s="142">
        <f>'čerpání rozpočtu obce'!D7</f>
        <v>257000</v>
      </c>
      <c r="E10" s="142">
        <f>'čerpání rozpočtu obce'!E7</f>
        <v>256581.3</v>
      </c>
      <c r="F10" s="142">
        <v>0</v>
      </c>
    </row>
    <row r="11" spans="1:6" ht="13.5" thickTop="1">
      <c r="A11" s="125"/>
      <c r="B11" s="139" t="s">
        <v>132</v>
      </c>
      <c r="C11" s="143">
        <f>SUM(C12:C24)</f>
        <v>865000</v>
      </c>
      <c r="D11" s="143">
        <f>SUM(D12:D24)</f>
        <v>1017000</v>
      </c>
      <c r="E11" s="143">
        <f>SUM(E12:E24)</f>
        <v>757625.5</v>
      </c>
      <c r="F11" s="143">
        <f>SUM(F12:F23)</f>
        <v>0</v>
      </c>
    </row>
    <row r="12" spans="1:6">
      <c r="A12" s="126" t="s">
        <v>133</v>
      </c>
      <c r="B12" s="127" t="s">
        <v>134</v>
      </c>
      <c r="C12" s="135">
        <f>'čerpání rozpočtu obce'!C9</f>
        <v>239949</v>
      </c>
      <c r="D12" s="135">
        <f>'čerpání rozpočtu obce'!D9</f>
        <v>140949</v>
      </c>
      <c r="E12" s="135">
        <f>'čerpání rozpočtu obce'!E9</f>
        <v>102963.77</v>
      </c>
      <c r="F12" s="135">
        <v>0</v>
      </c>
    </row>
    <row r="13" spans="1:6">
      <c r="A13" s="128" t="s">
        <v>135</v>
      </c>
      <c r="B13" s="129" t="s">
        <v>33</v>
      </c>
      <c r="C13" s="144">
        <f>'čerpání rozpočtu obce'!C10</f>
        <v>50000</v>
      </c>
      <c r="D13" s="144">
        <f>'čerpání rozpočtu obce'!D10</f>
        <v>60000</v>
      </c>
      <c r="E13" s="144">
        <f>'čerpání rozpočtu obce'!E10</f>
        <v>5269.5</v>
      </c>
      <c r="F13" s="144">
        <v>0</v>
      </c>
    </row>
    <row r="14" spans="1:6">
      <c r="A14" s="128" t="s">
        <v>136</v>
      </c>
      <c r="B14" s="129" t="s">
        <v>17</v>
      </c>
      <c r="C14" s="144">
        <f>'čerpání rozpočtu obce'!C11</f>
        <v>1500</v>
      </c>
      <c r="D14" s="144">
        <f>'čerpání rozpočtu obce'!D11</f>
        <v>1500</v>
      </c>
      <c r="E14" s="144">
        <f>'čerpání rozpočtu obce'!E11</f>
        <v>0</v>
      </c>
      <c r="F14" s="144">
        <v>0</v>
      </c>
    </row>
    <row r="15" spans="1:6">
      <c r="A15" s="128" t="s">
        <v>108</v>
      </c>
      <c r="B15" s="129" t="s">
        <v>25</v>
      </c>
      <c r="C15" s="144">
        <f>'čerpání rozpočtu obce'!C12</f>
        <v>280000</v>
      </c>
      <c r="D15" s="144">
        <f>'čerpání rozpočtu obce'!D12</f>
        <v>410000</v>
      </c>
      <c r="E15" s="144">
        <f>'čerpání rozpočtu obce'!E12</f>
        <v>394846.54</v>
      </c>
      <c r="F15" s="144">
        <v>0</v>
      </c>
    </row>
    <row r="16" spans="1:6">
      <c r="A16" s="128" t="s">
        <v>137</v>
      </c>
      <c r="B16" s="129" t="s">
        <v>62</v>
      </c>
      <c r="C16" s="144">
        <f>'čerpání rozpočtu obce'!C13</f>
        <v>0</v>
      </c>
      <c r="D16" s="144">
        <f>'čerpání rozpočtu obce'!D13</f>
        <v>0</v>
      </c>
      <c r="E16" s="144">
        <f>'čerpání rozpočtu obce'!E13</f>
        <v>0</v>
      </c>
      <c r="F16" s="144">
        <v>0</v>
      </c>
    </row>
    <row r="17" spans="1:6">
      <c r="A17" s="128" t="s">
        <v>114</v>
      </c>
      <c r="B17" s="129" t="s">
        <v>138</v>
      </c>
      <c r="C17" s="144">
        <f>'čerpání rozpočtu obce'!C14</f>
        <v>0</v>
      </c>
      <c r="D17" s="144">
        <f>'čerpání rozpočtu obce'!D14</f>
        <v>0</v>
      </c>
      <c r="E17" s="144">
        <f>'čerpání rozpočtu obce'!E14</f>
        <v>0</v>
      </c>
      <c r="F17" s="144">
        <v>0</v>
      </c>
    </row>
    <row r="18" spans="1:6">
      <c r="A18" s="128" t="s">
        <v>139</v>
      </c>
      <c r="B18" s="129" t="s">
        <v>140</v>
      </c>
      <c r="C18" s="144">
        <f>'čerpání rozpočtu obce'!C15</f>
        <v>0</v>
      </c>
      <c r="D18" s="144">
        <f>'čerpání rozpočtu obce'!D15</f>
        <v>0</v>
      </c>
      <c r="E18" s="144">
        <f>'čerpání rozpočtu obce'!E15</f>
        <v>0</v>
      </c>
      <c r="F18" s="144">
        <v>0</v>
      </c>
    </row>
    <row r="19" spans="1:6">
      <c r="A19" s="126" t="s">
        <v>141</v>
      </c>
      <c r="B19" s="127" t="s">
        <v>142</v>
      </c>
      <c r="C19" s="135">
        <f>'čerpání rozpočtu obce'!C16</f>
        <v>0</v>
      </c>
      <c r="D19" s="135">
        <f>'čerpání rozpočtu obce'!D16</f>
        <v>10000</v>
      </c>
      <c r="E19" s="135">
        <f>'čerpání rozpočtu obce'!E16</f>
        <v>5090</v>
      </c>
      <c r="F19" s="135">
        <v>0</v>
      </c>
    </row>
    <row r="20" spans="1:6">
      <c r="A20" s="126" t="s">
        <v>143</v>
      </c>
      <c r="B20" s="127" t="s">
        <v>118</v>
      </c>
      <c r="C20" s="135">
        <f>'čerpání rozpočtu obce'!C17</f>
        <v>0</v>
      </c>
      <c r="D20" s="135">
        <f>'čerpání rozpočtu obce'!D17</f>
        <v>0</v>
      </c>
      <c r="E20" s="135">
        <f>'čerpání rozpočtu obce'!E17</f>
        <v>0</v>
      </c>
      <c r="F20" s="135">
        <v>0</v>
      </c>
    </row>
    <row r="21" spans="1:6">
      <c r="A21" s="126" t="s">
        <v>177</v>
      </c>
      <c r="B21" s="127" t="s">
        <v>93</v>
      </c>
      <c r="C21" s="135">
        <f>'čerpání rozpočtu obce'!C18</f>
        <v>0</v>
      </c>
      <c r="D21" s="135">
        <f>'čerpání rozpočtu obce'!D18</f>
        <v>0</v>
      </c>
      <c r="E21" s="135">
        <f>'čerpání rozpočtu obce'!E18</f>
        <v>0</v>
      </c>
      <c r="F21" s="135"/>
    </row>
    <row r="22" spans="1:6">
      <c r="A22" s="128" t="s">
        <v>144</v>
      </c>
      <c r="B22" s="129" t="s">
        <v>27</v>
      </c>
      <c r="C22" s="144">
        <f>'čerpání rozpočtu obce'!C19</f>
        <v>201851</v>
      </c>
      <c r="D22" s="144">
        <f>'čerpání rozpočtu obce'!D19</f>
        <v>201851</v>
      </c>
      <c r="E22" s="144">
        <f>'čerpání rozpočtu obce'!E19</f>
        <v>201851</v>
      </c>
      <c r="F22" s="144">
        <v>0</v>
      </c>
    </row>
    <row r="23" spans="1:6" ht="13.5" thickBot="1">
      <c r="A23" s="177" t="s">
        <v>100</v>
      </c>
      <c r="B23" s="178" t="s">
        <v>153</v>
      </c>
      <c r="C23" s="179">
        <f>'čerpání rozpočtu obce'!C20</f>
        <v>91700</v>
      </c>
      <c r="D23" s="179">
        <f>'čerpání rozpočtu obce'!D20</f>
        <v>191700</v>
      </c>
      <c r="E23" s="179">
        <f>'čerpání rozpočtu obce'!E20</f>
        <v>47104.69</v>
      </c>
      <c r="F23" s="146">
        <v>0</v>
      </c>
    </row>
    <row r="24" spans="1:6" ht="13.5" thickBot="1">
      <c r="A24" s="147" t="s">
        <v>192</v>
      </c>
      <c r="B24" s="145" t="s">
        <v>195</v>
      </c>
      <c r="C24" s="146">
        <f>'čerpání rozpočtu obce'!C21</f>
        <v>0</v>
      </c>
      <c r="D24" s="146">
        <f>'čerpání rozpočtu obce'!D21</f>
        <v>1000</v>
      </c>
      <c r="E24" s="146">
        <f>'čerpání rozpočtu obce'!E21</f>
        <v>500</v>
      </c>
      <c r="F24" s="174"/>
    </row>
    <row r="28" spans="1:6" s="53" customFormat="1" ht="25.5" customHeight="1">
      <c r="A28" s="189" t="s">
        <v>201</v>
      </c>
      <c r="B28" s="189"/>
      <c r="C28" s="189"/>
      <c r="D28" s="189"/>
      <c r="E28" s="189"/>
      <c r="F28" s="189"/>
    </row>
    <row r="29" spans="1:6">
      <c r="A29" s="167"/>
      <c r="B29" s="167"/>
    </row>
    <row r="30" spans="1:6" ht="13.5" thickBot="1"/>
    <row r="31" spans="1:6" ht="51.75" thickBot="1">
      <c r="A31" s="48" t="s">
        <v>4</v>
      </c>
      <c r="B31" s="49" t="s">
        <v>0</v>
      </c>
      <c r="C31" s="150" t="s">
        <v>197</v>
      </c>
      <c r="D31" s="150" t="s">
        <v>198</v>
      </c>
      <c r="E31" s="150" t="s">
        <v>199</v>
      </c>
      <c r="F31" s="150" t="s">
        <v>174</v>
      </c>
    </row>
    <row r="32" spans="1:6" ht="13.5" thickTop="1">
      <c r="A32" s="138"/>
      <c r="B32" s="139" t="s">
        <v>127</v>
      </c>
      <c r="C32" s="140">
        <f>SUM(C33:C37)</f>
        <v>11000000</v>
      </c>
      <c r="D32" s="140">
        <f>SUM(D33:D37)</f>
        <v>11000000</v>
      </c>
      <c r="E32" s="140">
        <f>SUM(E33:E37)</f>
        <v>10271483</v>
      </c>
      <c r="F32" s="140">
        <f>SUM(F33:F37)</f>
        <v>0</v>
      </c>
    </row>
    <row r="33" spans="1:6">
      <c r="A33" s="128" t="s">
        <v>89</v>
      </c>
      <c r="B33" s="129" t="s">
        <v>128</v>
      </c>
      <c r="C33" s="135">
        <v>0</v>
      </c>
      <c r="D33" s="135">
        <v>0</v>
      </c>
      <c r="E33" s="135">
        <v>0</v>
      </c>
      <c r="F33" s="135">
        <v>0</v>
      </c>
    </row>
    <row r="34" spans="1:6">
      <c r="A34" s="126" t="s">
        <v>96</v>
      </c>
      <c r="B34" s="127" t="s">
        <v>172</v>
      </c>
      <c r="C34" s="135">
        <v>11000000</v>
      </c>
      <c r="D34" s="135">
        <f>11000000</f>
        <v>11000000</v>
      </c>
      <c r="E34" s="135">
        <f>ONIV!D6</f>
        <v>10271483</v>
      </c>
      <c r="F34" s="135">
        <v>0</v>
      </c>
    </row>
    <row r="35" spans="1:6">
      <c r="A35" s="126" t="s">
        <v>99</v>
      </c>
      <c r="B35" s="127" t="s">
        <v>129</v>
      </c>
      <c r="C35" s="135">
        <v>0</v>
      </c>
      <c r="D35" s="135">
        <v>0</v>
      </c>
      <c r="E35" s="135">
        <v>0</v>
      </c>
      <c r="F35" s="135">
        <v>0</v>
      </c>
    </row>
    <row r="36" spans="1:6">
      <c r="A36" s="126" t="s">
        <v>76</v>
      </c>
      <c r="B36" s="127" t="s">
        <v>130</v>
      </c>
      <c r="C36" s="135">
        <v>0</v>
      </c>
      <c r="D36" s="135">
        <v>0</v>
      </c>
      <c r="E36" s="135">
        <v>0</v>
      </c>
      <c r="F36" s="135">
        <v>0</v>
      </c>
    </row>
    <row r="37" spans="1:6" ht="13.5" thickBot="1">
      <c r="A37" s="141" t="s">
        <v>131</v>
      </c>
      <c r="B37" s="130" t="s">
        <v>119</v>
      </c>
      <c r="C37" s="142">
        <v>0</v>
      </c>
      <c r="D37" s="142">
        <v>0</v>
      </c>
      <c r="E37" s="142">
        <v>0</v>
      </c>
      <c r="F37" s="142">
        <v>0</v>
      </c>
    </row>
    <row r="38" spans="1:6" ht="13.5" thickTop="1">
      <c r="A38" s="125"/>
      <c r="B38" s="139" t="s">
        <v>132</v>
      </c>
      <c r="C38" s="143">
        <f>SUM(C39:C49)</f>
        <v>11000000</v>
      </c>
      <c r="D38" s="143">
        <f>SUM(D39:D49)</f>
        <v>11000000</v>
      </c>
      <c r="E38" s="143">
        <f>SUM(E39:E49)</f>
        <v>10271483</v>
      </c>
      <c r="F38" s="143">
        <f>SUM(F39:F49)</f>
        <v>0</v>
      </c>
    </row>
    <row r="39" spans="1:6">
      <c r="A39" s="126" t="s">
        <v>133</v>
      </c>
      <c r="B39" s="127" t="s">
        <v>134</v>
      </c>
      <c r="C39" s="135">
        <v>41000</v>
      </c>
      <c r="D39" s="135">
        <f>41000-10000</f>
        <v>31000</v>
      </c>
      <c r="E39" s="135">
        <f>ONIV!E14+ONIV!E15</f>
        <v>11379</v>
      </c>
      <c r="F39" s="135">
        <v>0</v>
      </c>
    </row>
    <row r="40" spans="1:6">
      <c r="A40" s="128" t="s">
        <v>135</v>
      </c>
      <c r="B40" s="129" t="s">
        <v>33</v>
      </c>
      <c r="C40" s="144">
        <v>0</v>
      </c>
      <c r="D40" s="144">
        <v>0</v>
      </c>
      <c r="E40" s="144">
        <v>0</v>
      </c>
      <c r="F40" s="144">
        <v>0</v>
      </c>
    </row>
    <row r="41" spans="1:6">
      <c r="A41" s="128" t="s">
        <v>136</v>
      </c>
      <c r="B41" s="129" t="s">
        <v>17</v>
      </c>
      <c r="C41" s="144">
        <v>1000</v>
      </c>
      <c r="D41" s="144">
        <f>1000</f>
        <v>1000</v>
      </c>
      <c r="E41" s="144">
        <f>ONIV!E16</f>
        <v>0</v>
      </c>
      <c r="F41" s="144">
        <v>0</v>
      </c>
    </row>
    <row r="42" spans="1:6">
      <c r="A42" s="128" t="s">
        <v>108</v>
      </c>
      <c r="B42" s="129" t="s">
        <v>25</v>
      </c>
      <c r="C42" s="144">
        <v>9000</v>
      </c>
      <c r="D42" s="144">
        <f>9000+10000+30000</f>
        <v>49000</v>
      </c>
      <c r="E42" s="144">
        <f>ONIV!E17+ONIV!E18+ONIV!E19</f>
        <v>45492</v>
      </c>
      <c r="F42" s="144">
        <v>0</v>
      </c>
    </row>
    <row r="43" spans="1:6">
      <c r="A43" s="128" t="s">
        <v>137</v>
      </c>
      <c r="B43" s="129" t="s">
        <v>62</v>
      </c>
      <c r="C43" s="144">
        <v>8000000</v>
      </c>
      <c r="D43" s="144">
        <f>8000000-50000-30000-25000-50000</f>
        <v>7845000</v>
      </c>
      <c r="E43" s="144">
        <f>ONIV!E7+ONIV!E9+ONIV!E8</f>
        <v>7384575</v>
      </c>
      <c r="F43" s="144">
        <v>0</v>
      </c>
    </row>
    <row r="44" spans="1:6">
      <c r="A44" s="128" t="s">
        <v>114</v>
      </c>
      <c r="B44" s="129" t="s">
        <v>138</v>
      </c>
      <c r="C44" s="144">
        <v>2704000</v>
      </c>
      <c r="D44" s="144">
        <f>2704000</f>
        <v>2704000</v>
      </c>
      <c r="E44" s="144">
        <f>ONIV!E10+ONIV!E11</f>
        <v>2486625</v>
      </c>
      <c r="F44" s="144">
        <v>0</v>
      </c>
    </row>
    <row r="45" spans="1:6">
      <c r="A45" s="128" t="s">
        <v>139</v>
      </c>
      <c r="B45" s="129" t="s">
        <v>140</v>
      </c>
      <c r="C45" s="144">
        <v>35000</v>
      </c>
      <c r="D45" s="144">
        <f>35000</f>
        <v>35000</v>
      </c>
      <c r="E45" s="144">
        <f>ONIV!E20</f>
        <v>32207</v>
      </c>
      <c r="F45" s="144">
        <v>0</v>
      </c>
    </row>
    <row r="46" spans="1:6">
      <c r="A46" s="126" t="s">
        <v>141</v>
      </c>
      <c r="B46" s="127" t="s">
        <v>142</v>
      </c>
      <c r="C46" s="135">
        <v>160000</v>
      </c>
      <c r="D46" s="135">
        <f>160000</f>
        <v>160000</v>
      </c>
      <c r="E46" s="135">
        <f>ONIV!E12</f>
        <v>145790</v>
      </c>
      <c r="F46" s="135">
        <v>0</v>
      </c>
    </row>
    <row r="47" spans="1:6">
      <c r="A47" s="126" t="s">
        <v>143</v>
      </c>
      <c r="B47" s="127" t="s">
        <v>118</v>
      </c>
      <c r="C47" s="135">
        <v>50000</v>
      </c>
      <c r="D47" s="135">
        <f>50000+25000</f>
        <v>75000</v>
      </c>
      <c r="E47" s="135">
        <f>ONIV!E21</f>
        <v>71760</v>
      </c>
      <c r="F47" s="135">
        <v>0</v>
      </c>
    </row>
    <row r="48" spans="1:6">
      <c r="A48" s="128" t="s">
        <v>144</v>
      </c>
      <c r="B48" s="129" t="s">
        <v>27</v>
      </c>
      <c r="C48" s="144">
        <v>0</v>
      </c>
      <c r="D48" s="144">
        <f>0</f>
        <v>0</v>
      </c>
      <c r="E48" s="144">
        <v>0</v>
      </c>
      <c r="F48" s="144">
        <v>0</v>
      </c>
    </row>
    <row r="49" spans="1:6" ht="13.5" thickBot="1">
      <c r="A49" s="147" t="s">
        <v>100</v>
      </c>
      <c r="B49" s="145" t="s">
        <v>153</v>
      </c>
      <c r="C49" s="146">
        <v>0</v>
      </c>
      <c r="D49" s="146">
        <f>0+50000+50000</f>
        <v>100000</v>
      </c>
      <c r="E49" s="146">
        <f>ONIV!E22</f>
        <v>93655</v>
      </c>
      <c r="F49" s="146">
        <v>0</v>
      </c>
    </row>
    <row r="53" spans="1:6" s="53" customFormat="1" ht="25.5" customHeight="1">
      <c r="A53" s="189" t="s">
        <v>202</v>
      </c>
      <c r="B53" s="189"/>
      <c r="C53" s="189"/>
      <c r="D53" s="189"/>
      <c r="E53" s="189"/>
      <c r="F53" s="189"/>
    </row>
    <row r="54" spans="1:6">
      <c r="A54" s="167"/>
      <c r="B54" s="167"/>
    </row>
    <row r="55" spans="1:6" ht="13.5" thickBot="1"/>
    <row r="56" spans="1:6" ht="51.75" thickBot="1">
      <c r="A56" s="48" t="s">
        <v>4</v>
      </c>
      <c r="B56" s="49" t="s">
        <v>0</v>
      </c>
      <c r="C56" s="150" t="s">
        <v>197</v>
      </c>
      <c r="D56" s="150" t="s">
        <v>198</v>
      </c>
      <c r="E56" s="150" t="s">
        <v>203</v>
      </c>
      <c r="F56" s="150" t="s">
        <v>174</v>
      </c>
    </row>
    <row r="57" spans="1:6" ht="13.5" thickTop="1">
      <c r="A57" s="138"/>
      <c r="B57" s="139" t="s">
        <v>127</v>
      </c>
      <c r="C57" s="140">
        <f>SUM(C58:C62)</f>
        <v>35000</v>
      </c>
      <c r="D57" s="140">
        <f>SUM(D58:D62)</f>
        <v>35000</v>
      </c>
      <c r="E57" s="140">
        <f>SUM(E58:E62)</f>
        <v>30000</v>
      </c>
      <c r="F57" s="140">
        <f>SUM(F58:F62)</f>
        <v>0</v>
      </c>
    </row>
    <row r="58" spans="1:6">
      <c r="A58" s="128" t="s">
        <v>89</v>
      </c>
      <c r="B58" s="129" t="s">
        <v>128</v>
      </c>
      <c r="C58" s="135">
        <v>0</v>
      </c>
      <c r="D58" s="135">
        <v>0</v>
      </c>
      <c r="E58" s="135">
        <v>0</v>
      </c>
      <c r="F58" s="135">
        <v>0</v>
      </c>
    </row>
    <row r="59" spans="1:6">
      <c r="A59" s="126" t="s">
        <v>96</v>
      </c>
      <c r="B59" s="127" t="s">
        <v>172</v>
      </c>
      <c r="C59" s="135">
        <v>0</v>
      </c>
      <c r="D59" s="135">
        <v>0</v>
      </c>
      <c r="E59" s="135">
        <v>0</v>
      </c>
      <c r="F59" s="135">
        <v>0</v>
      </c>
    </row>
    <row r="60" spans="1:6">
      <c r="A60" s="126" t="s">
        <v>99</v>
      </c>
      <c r="B60" s="127" t="s">
        <v>129</v>
      </c>
      <c r="C60" s="135">
        <v>35000</v>
      </c>
      <c r="D60" s="135">
        <f>35000</f>
        <v>35000</v>
      </c>
      <c r="E60" s="135">
        <f>'OBEC '!C81</f>
        <v>30000</v>
      </c>
      <c r="F60" s="135">
        <v>0</v>
      </c>
    </row>
    <row r="61" spans="1:6">
      <c r="A61" s="126" t="s">
        <v>76</v>
      </c>
      <c r="B61" s="127" t="s">
        <v>130</v>
      </c>
      <c r="C61" s="135">
        <v>0</v>
      </c>
      <c r="D61" s="135">
        <v>0</v>
      </c>
      <c r="E61" s="135">
        <v>0</v>
      </c>
      <c r="F61" s="135">
        <v>0</v>
      </c>
    </row>
    <row r="62" spans="1:6" ht="13.5" thickBot="1">
      <c r="A62" s="141" t="s">
        <v>131</v>
      </c>
      <c r="B62" s="130" t="s">
        <v>119</v>
      </c>
      <c r="C62" s="142">
        <v>0</v>
      </c>
      <c r="D62" s="142">
        <v>0</v>
      </c>
      <c r="E62" s="142">
        <f>'OBEC '!C80</f>
        <v>0</v>
      </c>
      <c r="F62" s="142">
        <v>0</v>
      </c>
    </row>
    <row r="63" spans="1:6" ht="13.5" thickTop="1">
      <c r="A63" s="125"/>
      <c r="B63" s="139" t="s">
        <v>132</v>
      </c>
      <c r="C63" s="143">
        <f>SUM(C64:C74)</f>
        <v>35000</v>
      </c>
      <c r="D63" s="143">
        <f>SUM(D64:D74)</f>
        <v>35000</v>
      </c>
      <c r="E63" s="143">
        <f>SUM(E64:E74)</f>
        <v>30000</v>
      </c>
      <c r="F63" s="143">
        <f>SUM(F64:F74)</f>
        <v>0</v>
      </c>
    </row>
    <row r="64" spans="1:6">
      <c r="A64" s="126" t="s">
        <v>133</v>
      </c>
      <c r="B64" s="127" t="s">
        <v>134</v>
      </c>
      <c r="C64" s="135">
        <v>35000</v>
      </c>
      <c r="D64" s="135">
        <f>35000</f>
        <v>35000</v>
      </c>
      <c r="E64" s="135">
        <f>'OBEC '!D82</f>
        <v>30000</v>
      </c>
      <c r="F64" s="135">
        <v>0</v>
      </c>
    </row>
    <row r="65" spans="1:6">
      <c r="A65" s="128" t="s">
        <v>135</v>
      </c>
      <c r="B65" s="129" t="s">
        <v>33</v>
      </c>
      <c r="C65" s="144">
        <v>0</v>
      </c>
      <c r="D65" s="144">
        <v>0</v>
      </c>
      <c r="E65" s="144">
        <v>0</v>
      </c>
      <c r="F65" s="144">
        <v>0</v>
      </c>
    </row>
    <row r="66" spans="1:6">
      <c r="A66" s="128" t="s">
        <v>136</v>
      </c>
      <c r="B66" s="129" t="s">
        <v>17</v>
      </c>
      <c r="C66" s="144">
        <v>0</v>
      </c>
      <c r="D66" s="144">
        <v>0</v>
      </c>
      <c r="E66" s="144">
        <v>0</v>
      </c>
      <c r="F66" s="144">
        <v>0</v>
      </c>
    </row>
    <row r="67" spans="1:6">
      <c r="A67" s="128" t="s">
        <v>108</v>
      </c>
      <c r="B67" s="129" t="s">
        <v>25</v>
      </c>
      <c r="C67" s="144">
        <v>0</v>
      </c>
      <c r="D67" s="144">
        <v>0</v>
      </c>
      <c r="E67" s="144">
        <v>0</v>
      </c>
      <c r="F67" s="144">
        <v>0</v>
      </c>
    </row>
    <row r="68" spans="1:6">
      <c r="A68" s="128" t="s">
        <v>137</v>
      </c>
      <c r="B68" s="129" t="s">
        <v>62</v>
      </c>
      <c r="C68" s="144">
        <v>0</v>
      </c>
      <c r="D68" s="144">
        <v>0</v>
      </c>
      <c r="E68" s="144">
        <v>0</v>
      </c>
      <c r="F68" s="144">
        <v>0</v>
      </c>
    </row>
    <row r="69" spans="1:6">
      <c r="A69" s="128" t="s">
        <v>114</v>
      </c>
      <c r="B69" s="129" t="s">
        <v>138</v>
      </c>
      <c r="C69" s="144">
        <v>0</v>
      </c>
      <c r="D69" s="144">
        <v>0</v>
      </c>
      <c r="E69" s="144">
        <v>0</v>
      </c>
      <c r="F69" s="144">
        <v>0</v>
      </c>
    </row>
    <row r="70" spans="1:6">
      <c r="A70" s="128" t="s">
        <v>139</v>
      </c>
      <c r="B70" s="129" t="s">
        <v>140</v>
      </c>
      <c r="C70" s="144">
        <v>0</v>
      </c>
      <c r="D70" s="144">
        <v>0</v>
      </c>
      <c r="E70" s="144">
        <v>0</v>
      </c>
      <c r="F70" s="144">
        <v>0</v>
      </c>
    </row>
    <row r="71" spans="1:6">
      <c r="A71" s="126" t="s">
        <v>141</v>
      </c>
      <c r="B71" s="127" t="s">
        <v>142</v>
      </c>
      <c r="C71" s="135">
        <v>0</v>
      </c>
      <c r="D71" s="135">
        <v>0</v>
      </c>
      <c r="E71" s="135">
        <v>0</v>
      </c>
      <c r="F71" s="135">
        <v>0</v>
      </c>
    </row>
    <row r="72" spans="1:6">
      <c r="A72" s="126" t="s">
        <v>143</v>
      </c>
      <c r="B72" s="127" t="s">
        <v>118</v>
      </c>
      <c r="C72" s="135">
        <v>0</v>
      </c>
      <c r="D72" s="135">
        <v>0</v>
      </c>
      <c r="E72" s="135">
        <v>0</v>
      </c>
      <c r="F72" s="135">
        <v>0</v>
      </c>
    </row>
    <row r="73" spans="1:6">
      <c r="A73" s="128" t="s">
        <v>144</v>
      </c>
      <c r="B73" s="129" t="s">
        <v>27</v>
      </c>
      <c r="C73" s="144">
        <v>0</v>
      </c>
      <c r="D73" s="144">
        <v>0</v>
      </c>
      <c r="E73" s="144">
        <v>0</v>
      </c>
      <c r="F73" s="144">
        <v>0</v>
      </c>
    </row>
    <row r="74" spans="1:6" ht="13.5" thickBot="1">
      <c r="A74" s="147" t="s">
        <v>100</v>
      </c>
      <c r="B74" s="145" t="s">
        <v>153</v>
      </c>
      <c r="C74" s="146">
        <v>0</v>
      </c>
      <c r="D74" s="146">
        <v>0</v>
      </c>
      <c r="E74" s="146">
        <f>'OBEC '!D83</f>
        <v>0</v>
      </c>
      <c r="F74" s="146">
        <v>0</v>
      </c>
    </row>
    <row r="77" spans="1:6" s="53" customFormat="1" ht="25.5" customHeight="1">
      <c r="A77" s="189" t="s">
        <v>204</v>
      </c>
      <c r="B77" s="189"/>
      <c r="C77" s="189"/>
      <c r="D77" s="189"/>
      <c r="E77" s="189"/>
      <c r="F77" s="189"/>
    </row>
    <row r="78" spans="1:6">
      <c r="A78" s="167"/>
      <c r="B78" s="167"/>
    </row>
    <row r="79" spans="1:6" ht="13.5" thickBot="1"/>
    <row r="80" spans="1:6" ht="51.75" thickBot="1">
      <c r="A80" s="48" t="s">
        <v>4</v>
      </c>
      <c r="B80" s="49" t="s">
        <v>0</v>
      </c>
      <c r="C80" s="150" t="s">
        <v>197</v>
      </c>
      <c r="D80" s="150" t="s">
        <v>198</v>
      </c>
      <c r="E80" s="150" t="s">
        <v>199</v>
      </c>
      <c r="F80" s="150" t="s">
        <v>174</v>
      </c>
    </row>
    <row r="81" spans="1:6" ht="13.5" thickTop="1">
      <c r="A81" s="138"/>
      <c r="B81" s="139" t="s">
        <v>127</v>
      </c>
      <c r="C81" s="140">
        <f>SUM(C82:C86)</f>
        <v>930000</v>
      </c>
      <c r="D81" s="140">
        <f>SUM(D82:D86)</f>
        <v>1110000</v>
      </c>
      <c r="E81" s="140">
        <f>SUM(E82:E86)</f>
        <v>998173.05</v>
      </c>
      <c r="F81" s="140">
        <f>SUM(F82:F86)</f>
        <v>0</v>
      </c>
    </row>
    <row r="82" spans="1:6">
      <c r="A82" s="128" t="s">
        <v>89</v>
      </c>
      <c r="B82" s="129" t="s">
        <v>128</v>
      </c>
      <c r="C82" s="135">
        <v>0</v>
      </c>
      <c r="D82" s="135">
        <v>0</v>
      </c>
      <c r="E82" s="135">
        <f>'OBEC '!C46</f>
        <v>0</v>
      </c>
      <c r="F82" s="135">
        <v>0</v>
      </c>
    </row>
    <row r="83" spans="1:6">
      <c r="A83" s="126" t="s">
        <v>96</v>
      </c>
      <c r="B83" s="127" t="s">
        <v>172</v>
      </c>
      <c r="C83" s="135">
        <v>0</v>
      </c>
      <c r="D83" s="135">
        <v>0</v>
      </c>
      <c r="E83" s="135">
        <v>0</v>
      </c>
      <c r="F83" s="135">
        <v>0</v>
      </c>
    </row>
    <row r="84" spans="1:6">
      <c r="A84" s="126" t="s">
        <v>99</v>
      </c>
      <c r="B84" s="127" t="s">
        <v>129</v>
      </c>
      <c r="C84" s="135">
        <v>0</v>
      </c>
      <c r="D84" s="135">
        <v>0</v>
      </c>
      <c r="E84" s="135">
        <v>0</v>
      </c>
      <c r="F84" s="135">
        <v>0</v>
      </c>
    </row>
    <row r="85" spans="1:6">
      <c r="A85" s="126" t="s">
        <v>76</v>
      </c>
      <c r="B85" s="127" t="s">
        <v>130</v>
      </c>
      <c r="C85" s="135">
        <v>0</v>
      </c>
      <c r="D85" s="135">
        <v>0</v>
      </c>
      <c r="E85" s="135">
        <v>0</v>
      </c>
      <c r="F85" s="135">
        <v>0</v>
      </c>
    </row>
    <row r="86" spans="1:6" ht="13.5" thickBot="1">
      <c r="A86" s="141" t="s">
        <v>131</v>
      </c>
      <c r="B86" s="130" t="s">
        <v>119</v>
      </c>
      <c r="C86" s="142">
        <v>930000</v>
      </c>
      <c r="D86" s="142">
        <f>930000+70000+110000</f>
        <v>1110000</v>
      </c>
      <c r="E86" s="142">
        <f>'OBEC '!C45+'OBEC '!C55+'OBEC '!C70</f>
        <v>998173.05</v>
      </c>
      <c r="F86" s="142">
        <v>0</v>
      </c>
    </row>
    <row r="87" spans="1:6" ht="13.5" thickTop="1">
      <c r="A87" s="125"/>
      <c r="B87" s="139" t="s">
        <v>132</v>
      </c>
      <c r="C87" s="143">
        <f>SUM(C88:C98)</f>
        <v>930000</v>
      </c>
      <c r="D87" s="143">
        <f>SUM(D88:D98)</f>
        <v>1110000</v>
      </c>
      <c r="E87" s="143">
        <f>SUM(E88:E98)</f>
        <v>998173.05</v>
      </c>
      <c r="F87" s="143">
        <f>SUM(F88:F98)</f>
        <v>0</v>
      </c>
    </row>
    <row r="88" spans="1:6">
      <c r="A88" s="126" t="s">
        <v>133</v>
      </c>
      <c r="B88" s="127" t="s">
        <v>134</v>
      </c>
      <c r="C88" s="135">
        <v>803300</v>
      </c>
      <c r="D88" s="135">
        <f>803300+70000+110000</f>
        <v>983300</v>
      </c>
      <c r="E88" s="135">
        <f>'OBEC '!D47+'OBEC '!D56+'OBEC '!D71+'OBEC '!D57</f>
        <v>914334.05</v>
      </c>
      <c r="F88" s="135">
        <v>0</v>
      </c>
    </row>
    <row r="89" spans="1:6">
      <c r="A89" s="128" t="s">
        <v>135</v>
      </c>
      <c r="B89" s="129" t="s">
        <v>33</v>
      </c>
      <c r="C89" s="144">
        <v>0</v>
      </c>
      <c r="D89" s="144">
        <f>0</f>
        <v>0</v>
      </c>
      <c r="E89" s="144">
        <v>0</v>
      </c>
      <c r="F89" s="144">
        <v>0</v>
      </c>
    </row>
    <row r="90" spans="1:6">
      <c r="A90" s="128" t="s">
        <v>136</v>
      </c>
      <c r="B90" s="129" t="s">
        <v>17</v>
      </c>
      <c r="C90" s="144">
        <v>0</v>
      </c>
      <c r="D90" s="144">
        <f>0</f>
        <v>0</v>
      </c>
      <c r="E90" s="144">
        <v>0</v>
      </c>
      <c r="F90" s="144">
        <v>0</v>
      </c>
    </row>
    <row r="91" spans="1:6">
      <c r="A91" s="128" t="s">
        <v>108</v>
      </c>
      <c r="B91" s="129" t="s">
        <v>25</v>
      </c>
      <c r="C91" s="144">
        <v>25000</v>
      </c>
      <c r="D91" s="144">
        <f>25000</f>
        <v>25000</v>
      </c>
      <c r="E91" s="144">
        <f>'OBEC '!D58+'OBEC '!D72</f>
        <v>16044</v>
      </c>
      <c r="F91" s="144">
        <v>0</v>
      </c>
    </row>
    <row r="92" spans="1:6">
      <c r="A92" s="128" t="s">
        <v>137</v>
      </c>
      <c r="B92" s="129" t="s">
        <v>62</v>
      </c>
      <c r="C92" s="144">
        <v>75000</v>
      </c>
      <c r="D92" s="144">
        <f>75000</f>
        <v>75000</v>
      </c>
      <c r="E92" s="144">
        <f>'OBEC '!D59</f>
        <v>49921</v>
      </c>
      <c r="F92" s="144">
        <v>0</v>
      </c>
    </row>
    <row r="93" spans="1:6">
      <c r="A93" s="128" t="s">
        <v>114</v>
      </c>
      <c r="B93" s="129" t="s">
        <v>138</v>
      </c>
      <c r="C93" s="144">
        <v>25200</v>
      </c>
      <c r="D93" s="144">
        <f>25200</f>
        <v>25200</v>
      </c>
      <c r="E93" s="144">
        <f>'OBEC '!D60+'OBEC '!D61</f>
        <v>16869</v>
      </c>
      <c r="F93" s="144">
        <v>0</v>
      </c>
    </row>
    <row r="94" spans="1:6">
      <c r="A94" s="128" t="s">
        <v>139</v>
      </c>
      <c r="B94" s="129" t="s">
        <v>140</v>
      </c>
      <c r="C94" s="144">
        <v>0</v>
      </c>
      <c r="D94" s="144">
        <f>0</f>
        <v>0</v>
      </c>
      <c r="E94" s="144">
        <v>0</v>
      </c>
      <c r="F94" s="144">
        <v>0</v>
      </c>
    </row>
    <row r="95" spans="1:6">
      <c r="A95" s="126" t="s">
        <v>141</v>
      </c>
      <c r="B95" s="127" t="s">
        <v>142</v>
      </c>
      <c r="C95" s="135">
        <v>1500</v>
      </c>
      <c r="D95" s="135">
        <f>1500</f>
        <v>1500</v>
      </c>
      <c r="E95" s="135">
        <f>'OBEC '!D62</f>
        <v>1005</v>
      </c>
      <c r="F95" s="135">
        <v>0</v>
      </c>
    </row>
    <row r="96" spans="1:6">
      <c r="A96" s="126" t="s">
        <v>143</v>
      </c>
      <c r="B96" s="127" t="s">
        <v>118</v>
      </c>
      <c r="C96" s="135">
        <v>0</v>
      </c>
      <c r="D96" s="135">
        <f>0</f>
        <v>0</v>
      </c>
      <c r="E96" s="135">
        <v>0</v>
      </c>
      <c r="F96" s="135">
        <v>0</v>
      </c>
    </row>
    <row r="97" spans="1:6">
      <c r="A97" s="128" t="s">
        <v>144</v>
      </c>
      <c r="B97" s="129" t="s">
        <v>27</v>
      </c>
      <c r="C97" s="144">
        <v>0</v>
      </c>
      <c r="D97" s="144">
        <f>0</f>
        <v>0</v>
      </c>
      <c r="E97" s="144">
        <v>0</v>
      </c>
      <c r="F97" s="144">
        <v>0</v>
      </c>
    </row>
    <row r="98" spans="1:6" ht="13.5" thickBot="1">
      <c r="A98" s="147" t="s">
        <v>100</v>
      </c>
      <c r="B98" s="145" t="s">
        <v>153</v>
      </c>
      <c r="C98" s="146">
        <v>0</v>
      </c>
      <c r="D98" s="146">
        <f>0</f>
        <v>0</v>
      </c>
      <c r="E98" s="146">
        <v>0</v>
      </c>
      <c r="F98" s="146">
        <v>0</v>
      </c>
    </row>
    <row r="102" spans="1:6" ht="19.5">
      <c r="A102" s="189" t="s">
        <v>243</v>
      </c>
      <c r="B102" s="189"/>
      <c r="C102" s="189"/>
      <c r="D102" s="189"/>
      <c r="E102" s="189"/>
      <c r="F102" s="189"/>
    </row>
    <row r="103" spans="1:6">
      <c r="A103" s="167"/>
      <c r="B103" s="167"/>
    </row>
    <row r="104" spans="1:6" ht="13.5" thickBot="1"/>
    <row r="105" spans="1:6" ht="51.75" thickBot="1">
      <c r="A105" s="48" t="s">
        <v>4</v>
      </c>
      <c r="B105" s="49" t="s">
        <v>0</v>
      </c>
      <c r="C105" s="150" t="s">
        <v>197</v>
      </c>
      <c r="D105" s="150" t="s">
        <v>198</v>
      </c>
      <c r="E105" s="150" t="s">
        <v>199</v>
      </c>
      <c r="F105" s="150" t="s">
        <v>174</v>
      </c>
    </row>
    <row r="106" spans="1:6" ht="13.5" thickTop="1">
      <c r="A106" s="138"/>
      <c r="B106" s="139" t="s">
        <v>127</v>
      </c>
      <c r="C106" s="140">
        <f>SUM(C107:C111)</f>
        <v>315000</v>
      </c>
      <c r="D106" s="140">
        <f>SUM(D107:D111)</f>
        <v>374612.64</v>
      </c>
      <c r="E106" s="140">
        <f>SUM(E107:E111)</f>
        <v>374612.64</v>
      </c>
      <c r="F106" s="140">
        <f>SUM(F107:F111)</f>
        <v>0</v>
      </c>
    </row>
    <row r="107" spans="1:6">
      <c r="A107" s="128" t="s">
        <v>89</v>
      </c>
      <c r="B107" s="129" t="s">
        <v>128</v>
      </c>
      <c r="C107" s="135">
        <v>0</v>
      </c>
      <c r="D107" s="135">
        <v>0</v>
      </c>
      <c r="E107" s="135">
        <v>0</v>
      </c>
      <c r="F107" s="135">
        <v>0</v>
      </c>
    </row>
    <row r="108" spans="1:6">
      <c r="A108" s="126" t="s">
        <v>96</v>
      </c>
      <c r="B108" s="127" t="s">
        <v>172</v>
      </c>
      <c r="C108" s="135">
        <v>0</v>
      </c>
      <c r="D108" s="135">
        <v>0</v>
      </c>
      <c r="E108" s="135">
        <v>0</v>
      </c>
      <c r="F108" s="135">
        <v>0</v>
      </c>
    </row>
    <row r="109" spans="1:6">
      <c r="A109" s="126" t="s">
        <v>99</v>
      </c>
      <c r="B109" s="127" t="s">
        <v>129</v>
      </c>
      <c r="C109" s="135">
        <v>315000</v>
      </c>
      <c r="D109" s="135">
        <f>266238.64+56000+52374</f>
        <v>374612.64</v>
      </c>
      <c r="E109" s="135">
        <f>'OBEC '!D101+'OBEC '!C121</f>
        <v>374612.64</v>
      </c>
      <c r="F109" s="135">
        <v>0</v>
      </c>
    </row>
    <row r="110" spans="1:6">
      <c r="A110" s="126" t="s">
        <v>76</v>
      </c>
      <c r="B110" s="127" t="s">
        <v>130</v>
      </c>
      <c r="C110" s="135">
        <v>0</v>
      </c>
      <c r="D110" s="135">
        <v>0</v>
      </c>
      <c r="E110" s="135">
        <v>0</v>
      </c>
      <c r="F110" s="135">
        <v>0</v>
      </c>
    </row>
    <row r="111" spans="1:6" ht="13.5" thickBot="1">
      <c r="A111" s="141" t="s">
        <v>131</v>
      </c>
      <c r="B111" s="130" t="s">
        <v>119</v>
      </c>
      <c r="C111" s="142">
        <v>0</v>
      </c>
      <c r="D111" s="142">
        <v>0</v>
      </c>
      <c r="E111" s="142">
        <v>0</v>
      </c>
      <c r="F111" s="142">
        <v>0</v>
      </c>
    </row>
    <row r="112" spans="1:6" ht="13.5" thickTop="1">
      <c r="A112" s="125"/>
      <c r="B112" s="139" t="s">
        <v>132</v>
      </c>
      <c r="C112" s="143">
        <f>SUM(C113:C123)</f>
        <v>315000</v>
      </c>
      <c r="D112" s="143">
        <f>SUM(D113:D123)</f>
        <v>374612.64</v>
      </c>
      <c r="E112" s="143">
        <f>SUM(E113:E123)</f>
        <v>374612.64</v>
      </c>
      <c r="F112" s="143">
        <f>SUM(F113:F123)</f>
        <v>0</v>
      </c>
    </row>
    <row r="113" spans="1:6">
      <c r="A113" s="126" t="s">
        <v>133</v>
      </c>
      <c r="B113" s="127" t="s">
        <v>134</v>
      </c>
      <c r="C113" s="135">
        <v>50000</v>
      </c>
      <c r="D113" s="135">
        <f>51238.64+20000+10000-4729.64</f>
        <v>76509</v>
      </c>
      <c r="E113" s="135">
        <f>'OBEC '!D92+'OBEC '!D109</f>
        <v>76509</v>
      </c>
      <c r="F113" s="135">
        <v>0</v>
      </c>
    </row>
    <row r="114" spans="1:6">
      <c r="A114" s="128" t="s">
        <v>135</v>
      </c>
      <c r="B114" s="129" t="s">
        <v>33</v>
      </c>
      <c r="C114" s="144">
        <v>0</v>
      </c>
      <c r="D114" s="144">
        <f>0</f>
        <v>0</v>
      </c>
      <c r="E114" s="144">
        <v>0</v>
      </c>
      <c r="F114" s="144">
        <v>0</v>
      </c>
    </row>
    <row r="115" spans="1:6">
      <c r="A115" s="128" t="s">
        <v>136</v>
      </c>
      <c r="B115" s="129" t="s">
        <v>17</v>
      </c>
      <c r="C115" s="144">
        <v>0</v>
      </c>
      <c r="D115" s="144">
        <f>0</f>
        <v>0</v>
      </c>
      <c r="E115" s="144">
        <v>0</v>
      </c>
      <c r="F115" s="144">
        <v>0</v>
      </c>
    </row>
    <row r="116" spans="1:6">
      <c r="A116" s="128" t="s">
        <v>108</v>
      </c>
      <c r="B116" s="129" t="s">
        <v>25</v>
      </c>
      <c r="C116" s="144">
        <v>0</v>
      </c>
      <c r="D116" s="144">
        <f>20000+10000-7131+19264-1500+52130</f>
        <v>92763</v>
      </c>
      <c r="E116" s="144">
        <f>'OBEC '!D93+'OBEC '!D94+'OBEC '!D95+'OBEC '!D110+'OBEC '!D111+'OBEC '!D112</f>
        <v>92763</v>
      </c>
      <c r="F116" s="144">
        <v>0</v>
      </c>
    </row>
    <row r="117" spans="1:6">
      <c r="A117" s="128" t="s">
        <v>137</v>
      </c>
      <c r="B117" s="129" t="s">
        <v>62</v>
      </c>
      <c r="C117" s="144">
        <v>200000</v>
      </c>
      <c r="D117" s="144">
        <f>160000-20000-10000-10000-15760+27456+244+1036</f>
        <v>132976</v>
      </c>
      <c r="E117" s="144">
        <f>'OBEC '!D96+'OBEC '!D113</f>
        <v>132976</v>
      </c>
      <c r="F117" s="144">
        <v>0</v>
      </c>
    </row>
    <row r="118" spans="1:6">
      <c r="A118" s="128" t="s">
        <v>114</v>
      </c>
      <c r="B118" s="129" t="s">
        <v>138</v>
      </c>
      <c r="C118" s="144">
        <v>65000</v>
      </c>
      <c r="D118" s="144">
        <f>35000-10583+9280-17-1036</f>
        <v>32644</v>
      </c>
      <c r="E118" s="144">
        <f>'OBEC '!D97+'OBEC '!D98+'OBEC '!D114+'OBEC '!D115</f>
        <v>32644</v>
      </c>
      <c r="F118" s="144">
        <v>0</v>
      </c>
    </row>
    <row r="119" spans="1:6">
      <c r="A119" s="128" t="s">
        <v>139</v>
      </c>
      <c r="B119" s="129" t="s">
        <v>140</v>
      </c>
      <c r="C119" s="144">
        <v>0</v>
      </c>
      <c r="D119" s="144">
        <f>0</f>
        <v>0</v>
      </c>
      <c r="E119" s="144">
        <v>0</v>
      </c>
      <c r="F119" s="144">
        <v>0</v>
      </c>
    </row>
    <row r="120" spans="1:6">
      <c r="A120" s="126" t="s">
        <v>141</v>
      </c>
      <c r="B120" s="127" t="s">
        <v>142</v>
      </c>
      <c r="C120" s="135">
        <v>0</v>
      </c>
      <c r="D120" s="135">
        <f>0</f>
        <v>0</v>
      </c>
      <c r="E120" s="135">
        <v>0</v>
      </c>
      <c r="F120" s="135">
        <v>0</v>
      </c>
    </row>
    <row r="121" spans="1:6">
      <c r="A121" s="126" t="s">
        <v>143</v>
      </c>
      <c r="B121" s="127" t="s">
        <v>118</v>
      </c>
      <c r="C121" s="135">
        <v>0</v>
      </c>
      <c r="D121" s="135">
        <f>0+1500+17</f>
        <v>1517</v>
      </c>
      <c r="E121" s="135">
        <f>'OBEC '!D99+'OBEC '!D116</f>
        <v>1517</v>
      </c>
      <c r="F121" s="135">
        <v>0</v>
      </c>
    </row>
    <row r="122" spans="1:6">
      <c r="A122" s="128" t="s">
        <v>144</v>
      </c>
      <c r="B122" s="129" t="s">
        <v>27</v>
      </c>
      <c r="C122" s="144">
        <v>0</v>
      </c>
      <c r="D122" s="144">
        <f>0</f>
        <v>0</v>
      </c>
      <c r="E122" s="144">
        <v>0</v>
      </c>
      <c r="F122" s="144">
        <v>0</v>
      </c>
    </row>
    <row r="123" spans="1:6" ht="13.5" thickBot="1">
      <c r="A123" s="147" t="s">
        <v>100</v>
      </c>
      <c r="B123" s="145" t="s">
        <v>153</v>
      </c>
      <c r="C123" s="146">
        <v>0</v>
      </c>
      <c r="D123" s="146">
        <f>0+4729.64+7131+15760+10583</f>
        <v>38203.64</v>
      </c>
      <c r="E123" s="146">
        <f>'OBEC '!D100+'OBEC '!D117</f>
        <v>38203.64</v>
      </c>
      <c r="F123" s="146">
        <v>0</v>
      </c>
    </row>
  </sheetData>
  <mergeCells count="5">
    <mergeCell ref="A1:F1"/>
    <mergeCell ref="A28:F28"/>
    <mergeCell ref="A53:F53"/>
    <mergeCell ref="A77:F77"/>
    <mergeCell ref="A102:F10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ONIV</vt:lpstr>
      <vt:lpstr>OBEC </vt:lpstr>
      <vt:lpstr>čerpání rozpočtu obce</vt:lpstr>
      <vt:lpstr>čerpání rozpočtu celkového</vt:lpstr>
      <vt:lpstr>čerpání dílčích rozpočtů</vt:lpstr>
      <vt:lpstr>ONIV!Oblast_tisku</vt:lpstr>
    </vt:vector>
  </TitlesOfParts>
  <Company>Lenka Egertová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Egertová</dc:creator>
  <cp:lastModifiedBy>Lenka Egertová</cp:lastModifiedBy>
  <cp:lastPrinted>2023-01-19T16:12:18Z</cp:lastPrinted>
  <dcterms:created xsi:type="dcterms:W3CDTF">2005-09-24T06:26:10Z</dcterms:created>
  <dcterms:modified xsi:type="dcterms:W3CDTF">2023-01-20T07:23:49Z</dcterms:modified>
</cp:coreProperties>
</file>