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30" windowWidth="11295" windowHeight="6240" firstSheet="3" activeTab="3"/>
  </bookViews>
  <sheets>
    <sheet name="ONIV" sheetId="1" state="hidden" r:id="rId1"/>
    <sheet name="OBEC " sheetId="2" state="hidden" r:id="rId2"/>
    <sheet name="čerpání rozpočtu obce" sheetId="3" state="hidden" r:id="rId3"/>
    <sheet name="čerpání rozpočtu celkového" sheetId="5" r:id="rId4"/>
    <sheet name="čerpání dílčích rozpočtů" sheetId="6" r:id="rId5"/>
  </sheets>
  <definedNames>
    <definedName name="_xlnm.Print_Area" localSheetId="0">ONIV!$A$1:$E$58</definedName>
  </definedNames>
  <calcPr calcId="125725"/>
</workbook>
</file>

<file path=xl/calcChain.xml><?xml version="1.0" encoding="utf-8"?>
<calcChain xmlns="http://schemas.openxmlformats.org/spreadsheetml/2006/main">
  <c r="D117" i="6"/>
  <c r="D121"/>
  <c r="D118"/>
  <c r="D116"/>
  <c r="D123"/>
  <c r="D113"/>
  <c r="D20" i="3"/>
  <c r="D9"/>
  <c r="D7"/>
  <c r="D43" i="2"/>
  <c r="D47"/>
  <c r="C50" s="1"/>
  <c r="C47"/>
  <c r="B50" s="1"/>
  <c r="D55"/>
  <c r="C39"/>
  <c r="E11"/>
  <c r="D50" l="1"/>
  <c r="B14" i="1"/>
  <c r="B10"/>
  <c r="B12"/>
  <c r="B7"/>
  <c r="E88" i="6"/>
  <c r="D109"/>
  <c r="D88"/>
  <c r="D86"/>
  <c r="D49"/>
  <c r="D44"/>
  <c r="D47"/>
  <c r="D46"/>
  <c r="D43"/>
  <c r="D42"/>
  <c r="D12" i="3"/>
  <c r="C42" i="1"/>
  <c r="E113" i="6"/>
  <c r="D10" i="3"/>
  <c r="D120" i="6"/>
  <c r="E120"/>
  <c r="D64"/>
  <c r="D60"/>
  <c r="D11" i="3"/>
  <c r="B8" i="1"/>
  <c r="D39" i="6"/>
  <c r="D34"/>
  <c r="D6" i="3"/>
  <c r="B18" i="1"/>
  <c r="B17"/>
  <c r="B9"/>
  <c r="D5" i="3"/>
  <c r="D35" i="2" l="1"/>
  <c r="C35"/>
  <c r="E10"/>
  <c r="B16" i="1"/>
  <c r="B15"/>
  <c r="E123" i="6"/>
  <c r="E121"/>
  <c r="E118"/>
  <c r="E117"/>
  <c r="E116"/>
  <c r="D21" i="3"/>
  <c r="D19"/>
  <c r="D16"/>
  <c r="D102" i="2"/>
  <c r="D115"/>
  <c r="C118" s="1"/>
  <c r="E109" i="6" s="1"/>
  <c r="C115" i="2"/>
  <c r="B118" s="1"/>
  <c r="D8" i="3" l="1"/>
  <c r="D118" i="2"/>
  <c r="C41" i="1" s="1"/>
  <c r="D23" i="6"/>
  <c r="D9"/>
  <c r="D9" i="5" s="1"/>
  <c r="E43" i="6"/>
  <c r="H10" i="1"/>
  <c r="B27"/>
  <c r="B29"/>
  <c r="H8"/>
  <c r="F8"/>
  <c r="D106" i="6"/>
  <c r="D19"/>
  <c r="D95"/>
  <c r="D93"/>
  <c r="D92"/>
  <c r="D91"/>
  <c r="D81"/>
  <c r="D63"/>
  <c r="D57"/>
  <c r="D45"/>
  <c r="D41"/>
  <c r="D32"/>
  <c r="D15"/>
  <c r="D13"/>
  <c r="D13" i="5" s="1"/>
  <c r="D10" i="6"/>
  <c r="D10" i="5" s="1"/>
  <c r="D6" i="6"/>
  <c r="B28" i="1"/>
  <c r="H12"/>
  <c r="H7"/>
  <c r="D14" i="6"/>
  <c r="C24"/>
  <c r="C24" i="5" s="1"/>
  <c r="D24" i="6"/>
  <c r="D24" i="5" s="1"/>
  <c r="D39" i="2"/>
  <c r="E38"/>
  <c r="E34"/>
  <c r="E21" i="3" s="1"/>
  <c r="E24" i="6" s="1"/>
  <c r="E24" i="5" s="1"/>
  <c r="E15" i="2"/>
  <c r="E29"/>
  <c r="E16" i="3" s="1"/>
  <c r="E19" i="6" s="1"/>
  <c r="D122"/>
  <c r="D119"/>
  <c r="D115"/>
  <c r="D114"/>
  <c r="D98"/>
  <c r="D97"/>
  <c r="D96"/>
  <c r="D94"/>
  <c r="D90"/>
  <c r="D89"/>
  <c r="D48"/>
  <c r="D22"/>
  <c r="D22" i="5" s="1"/>
  <c r="D18" i="3"/>
  <c r="D21" i="6"/>
  <c r="D21" i="5" s="1"/>
  <c r="D17" i="3"/>
  <c r="D15"/>
  <c r="D14"/>
  <c r="D17" i="6"/>
  <c r="D13" i="3"/>
  <c r="D16" i="6"/>
  <c r="C21"/>
  <c r="C21" i="5" s="1"/>
  <c r="E6" i="2"/>
  <c r="F12" i="1"/>
  <c r="F11"/>
  <c r="F7"/>
  <c r="G12" s="1"/>
  <c r="E91" i="6"/>
  <c r="E86"/>
  <c r="F23" i="5"/>
  <c r="F22"/>
  <c r="F20"/>
  <c r="F19"/>
  <c r="F18"/>
  <c r="F17"/>
  <c r="F16"/>
  <c r="F15"/>
  <c r="F14"/>
  <c r="F13"/>
  <c r="F12"/>
  <c r="F10"/>
  <c r="F9"/>
  <c r="F8"/>
  <c r="F7"/>
  <c r="F6"/>
  <c r="C8"/>
  <c r="C7"/>
  <c r="E95" i="6"/>
  <c r="E93"/>
  <c r="E92"/>
  <c r="E74"/>
  <c r="E64"/>
  <c r="E62"/>
  <c r="E60"/>
  <c r="E49"/>
  <c r="E47"/>
  <c r="E46"/>
  <c r="E45"/>
  <c r="E44"/>
  <c r="E42"/>
  <c r="E41"/>
  <c r="E39"/>
  <c r="E34"/>
  <c r="E32" s="1"/>
  <c r="E20"/>
  <c r="E18"/>
  <c r="D20"/>
  <c r="D18"/>
  <c r="C23"/>
  <c r="C23" i="5" s="1"/>
  <c r="C22" i="6"/>
  <c r="C22" i="5" s="1"/>
  <c r="C20" i="6"/>
  <c r="C20" i="5" s="1"/>
  <c r="C19" i="6"/>
  <c r="C19" i="5" s="1"/>
  <c r="C18" i="6"/>
  <c r="C18" i="5" s="1"/>
  <c r="C17" i="6"/>
  <c r="C17" i="5" s="1"/>
  <c r="C16" i="6"/>
  <c r="C16" i="5" s="1"/>
  <c r="C15" i="6"/>
  <c r="C15" i="5" s="1"/>
  <c r="C14" i="6"/>
  <c r="C14" i="5" s="1"/>
  <c r="C13" i="6"/>
  <c r="C13" i="5" s="1"/>
  <c r="C12" i="6"/>
  <c r="C12" i="5" s="1"/>
  <c r="C10" i="6"/>
  <c r="C10" i="5" s="1"/>
  <c r="C9" i="6"/>
  <c r="C6"/>
  <c r="C6" i="5" s="1"/>
  <c r="F112" i="6"/>
  <c r="C112"/>
  <c r="F106"/>
  <c r="C106"/>
  <c r="F87"/>
  <c r="C87"/>
  <c r="F81"/>
  <c r="C81"/>
  <c r="F63"/>
  <c r="C63"/>
  <c r="F57"/>
  <c r="C57"/>
  <c r="F38"/>
  <c r="C38"/>
  <c r="F32"/>
  <c r="C32"/>
  <c r="F11"/>
  <c r="F5"/>
  <c r="D85" i="2"/>
  <c r="C88" s="1"/>
  <c r="C96"/>
  <c r="B99" s="1"/>
  <c r="D96"/>
  <c r="C99" s="1"/>
  <c r="C30" i="1"/>
  <c r="E23"/>
  <c r="F26" s="1"/>
  <c r="E7" i="2"/>
  <c r="D90"/>
  <c r="C8" i="3"/>
  <c r="C4"/>
  <c r="E1"/>
  <c r="E1" i="5" s="1"/>
  <c r="E4" i="2"/>
  <c r="E5"/>
  <c r="E6" i="3" s="1"/>
  <c r="E9" i="6" s="1"/>
  <c r="E9" i="5" s="1"/>
  <c r="E8" i="2"/>
  <c r="E9"/>
  <c r="E5" i="3" s="1"/>
  <c r="E12" i="2"/>
  <c r="E13"/>
  <c r="E14"/>
  <c r="E16"/>
  <c r="E10" i="3" s="1"/>
  <c r="E13" i="6" s="1"/>
  <c r="E13" i="5" s="1"/>
  <c r="E17" i="2"/>
  <c r="E11" i="3" s="1"/>
  <c r="E14" i="6" s="1"/>
  <c r="E18" i="2"/>
  <c r="E19"/>
  <c r="E20"/>
  <c r="E21"/>
  <c r="E22"/>
  <c r="E23"/>
  <c r="E24"/>
  <c r="E25"/>
  <c r="E26"/>
  <c r="E27"/>
  <c r="E13" i="3" s="1"/>
  <c r="E16" i="6" s="1"/>
  <c r="E28" i="2"/>
  <c r="E14" i="3" s="1"/>
  <c r="E17" i="6" s="1"/>
  <c r="E30" i="2"/>
  <c r="E18" i="3" s="1"/>
  <c r="E21" i="6" s="1"/>
  <c r="E21" i="5" s="1"/>
  <c r="E31" i="2"/>
  <c r="E32"/>
  <c r="E19" i="3" s="1"/>
  <c r="E22" i="6" s="1"/>
  <c r="E22" i="5" s="1"/>
  <c r="E33" i="2"/>
  <c r="D65"/>
  <c r="D60"/>
  <c r="C63" s="1"/>
  <c r="C75"/>
  <c r="B78" s="1"/>
  <c r="D75"/>
  <c r="C78" s="1"/>
  <c r="C85"/>
  <c r="B88" s="1"/>
  <c r="D23" i="1"/>
  <c r="C40" s="1"/>
  <c r="C60" i="2"/>
  <c r="B63" s="1"/>
  <c r="E7" i="3" l="1"/>
  <c r="E10" i="6" s="1"/>
  <c r="E10" i="5" s="1"/>
  <c r="E20" i="3"/>
  <c r="E23" i="6" s="1"/>
  <c r="E23" i="5" s="1"/>
  <c r="E35" i="2"/>
  <c r="D112" i="6"/>
  <c r="D14" i="5"/>
  <c r="E14"/>
  <c r="B6" i="1"/>
  <c r="E18" i="5"/>
  <c r="H9" i="1"/>
  <c r="H23" s="1"/>
  <c r="G9"/>
  <c r="G11" s="1"/>
  <c r="D80" i="2"/>
  <c r="E63" i="6"/>
  <c r="E20" i="5"/>
  <c r="F5"/>
  <c r="E16"/>
  <c r="E112" i="6"/>
  <c r="D17" i="5"/>
  <c r="D18"/>
  <c r="E57" i="6"/>
  <c r="D88" i="2"/>
  <c r="E81" i="6"/>
  <c r="E39" i="2"/>
  <c r="E40" s="1"/>
  <c r="E9" i="3"/>
  <c r="E12" i="6" s="1"/>
  <c r="E12" i="5" s="1"/>
  <c r="E17"/>
  <c r="F11"/>
  <c r="D16"/>
  <c r="D87" i="6"/>
  <c r="D8" i="5"/>
  <c r="D23"/>
  <c r="D19"/>
  <c r="D15"/>
  <c r="D38" i="6"/>
  <c r="D7" i="5"/>
  <c r="D12" i="6"/>
  <c r="D12" i="5" s="1"/>
  <c r="D6"/>
  <c r="D5" i="6"/>
  <c r="D4" i="3"/>
  <c r="C5" i="6"/>
  <c r="E106"/>
  <c r="E8" i="5"/>
  <c r="D99" i="2"/>
  <c r="C45" i="1" s="1"/>
  <c r="E19" i="5"/>
  <c r="E87" i="6"/>
  <c r="D78" i="2"/>
  <c r="D63"/>
  <c r="C47" i="1" s="1"/>
  <c r="E12" i="3"/>
  <c r="E15" i="6" s="1"/>
  <c r="E15" i="5" s="1"/>
  <c r="G13" i="1"/>
  <c r="E38" i="6"/>
  <c r="F23" i="1"/>
  <c r="E7" i="5"/>
  <c r="B30" i="1"/>
  <c r="E30" s="1"/>
  <c r="C11" i="5"/>
  <c r="E6" i="6"/>
  <c r="C9" i="5"/>
  <c r="C5" s="1"/>
  <c r="C11" i="6"/>
  <c r="D20" i="5"/>
  <c r="C48" i="1" l="1"/>
  <c r="C52" s="1"/>
  <c r="C58" s="1"/>
  <c r="G23"/>
  <c r="D11" i="5"/>
  <c r="D5"/>
  <c r="D11" i="6"/>
  <c r="E11"/>
  <c r="E11" i="5"/>
  <c r="E8" i="3"/>
  <c r="E4"/>
  <c r="E6" i="5"/>
  <c r="E5" s="1"/>
  <c r="E5" i="6"/>
  <c r="E22" i="3" l="1"/>
</calcChain>
</file>

<file path=xl/sharedStrings.xml><?xml version="1.0" encoding="utf-8"?>
<sst xmlns="http://schemas.openxmlformats.org/spreadsheetml/2006/main" count="626" uniqueCount="280">
  <si>
    <t>Položka</t>
  </si>
  <si>
    <t>Rozpočet</t>
  </si>
  <si>
    <t>Výnosy</t>
  </si>
  <si>
    <t>Náklady</t>
  </si>
  <si>
    <t>Účet</t>
  </si>
  <si>
    <t>Odvody</t>
  </si>
  <si>
    <t>FKSP</t>
  </si>
  <si>
    <t>501.10</t>
  </si>
  <si>
    <t xml:space="preserve"> </t>
  </si>
  <si>
    <t>512.10</t>
  </si>
  <si>
    <t xml:space="preserve">Účet </t>
  </si>
  <si>
    <t>602.10</t>
  </si>
  <si>
    <t>Školné</t>
  </si>
  <si>
    <t>Dotace - obec</t>
  </si>
  <si>
    <t>SM - učebnice, pomůcky</t>
  </si>
  <si>
    <t>501.20</t>
  </si>
  <si>
    <t>SM - materiál</t>
  </si>
  <si>
    <t>Cestovné</t>
  </si>
  <si>
    <t>518.10</t>
  </si>
  <si>
    <t>Poštovné</t>
  </si>
  <si>
    <t>518.20</t>
  </si>
  <si>
    <t>Telef. poplatky, radio, TV</t>
  </si>
  <si>
    <t>518.40</t>
  </si>
  <si>
    <t>Zpracování dat</t>
  </si>
  <si>
    <t>518.60</t>
  </si>
  <si>
    <t>Ostatní služby</t>
  </si>
  <si>
    <t>551.10</t>
  </si>
  <si>
    <t>Odpisy</t>
  </si>
  <si>
    <t>Celkem</t>
  </si>
  <si>
    <t>Zůstatek</t>
  </si>
  <si>
    <t>518.50</t>
  </si>
  <si>
    <t>Pojištění</t>
  </si>
  <si>
    <t>511.10</t>
  </si>
  <si>
    <t>Opravy a udržování</t>
  </si>
  <si>
    <t>518.30</t>
  </si>
  <si>
    <t>Školení</t>
  </si>
  <si>
    <t>Čerpáno</t>
  </si>
  <si>
    <t xml:space="preserve">DKP   </t>
  </si>
  <si>
    <t>Bankovní účet</t>
  </si>
  <si>
    <t>Fond investiční</t>
  </si>
  <si>
    <t>Fond rezervní</t>
  </si>
  <si>
    <t>ONIV ZŠ</t>
  </si>
  <si>
    <t>ONIV MŠ</t>
  </si>
  <si>
    <t>Příjmy ze stravného</t>
  </si>
  <si>
    <t>ONIV kuchyň</t>
  </si>
  <si>
    <t>Součet</t>
  </si>
  <si>
    <t>PC licence a programy</t>
  </si>
  <si>
    <t>524.11 - sociální</t>
  </si>
  <si>
    <t>524.21 - zdravotní</t>
  </si>
  <si>
    <t>501.11 - učebnice</t>
  </si>
  <si>
    <t xml:space="preserve">512.11 - cestovné </t>
  </si>
  <si>
    <t xml:space="preserve">518.31 - školení, semináře </t>
  </si>
  <si>
    <t>525.11 - Kooperativa</t>
  </si>
  <si>
    <t>501.60</t>
  </si>
  <si>
    <t>Drogerie</t>
  </si>
  <si>
    <t>602.30</t>
  </si>
  <si>
    <t>Stravné</t>
  </si>
  <si>
    <t>501.50</t>
  </si>
  <si>
    <t>Potraviny</t>
  </si>
  <si>
    <t>602.300</t>
  </si>
  <si>
    <t>501.500</t>
  </si>
  <si>
    <t>521.110</t>
  </si>
  <si>
    <t>Mzdové náklady</t>
  </si>
  <si>
    <t>524.110</t>
  </si>
  <si>
    <t>Sociální pojištění</t>
  </si>
  <si>
    <t>524.210</t>
  </si>
  <si>
    <t>Zdravotní pojištění</t>
  </si>
  <si>
    <t>527.110</t>
  </si>
  <si>
    <t>Zákonné pojištění</t>
  </si>
  <si>
    <t>převod z min. období</t>
  </si>
  <si>
    <t>Počáteční zůstatek</t>
  </si>
  <si>
    <t>Sledované období</t>
  </si>
  <si>
    <t>Koneční zůstatek</t>
  </si>
  <si>
    <t>zůstatek</t>
  </si>
  <si>
    <t>527.11 - FKSP příděly</t>
  </si>
  <si>
    <t>sledované období</t>
  </si>
  <si>
    <t>648.10</t>
  </si>
  <si>
    <t>Čerpání z fondů</t>
  </si>
  <si>
    <t>Celkem ONIV</t>
  </si>
  <si>
    <t>528.11 - nemocenské</t>
  </si>
  <si>
    <t>518.400</t>
  </si>
  <si>
    <t xml:space="preserve">Vyúčtování potraviny k </t>
  </si>
  <si>
    <t xml:space="preserve">Vyúčtování CS k </t>
  </si>
  <si>
    <t xml:space="preserve">Čerpání rozpočtu od zřizovatele k </t>
  </si>
  <si>
    <t>Pokladna</t>
  </si>
  <si>
    <t>Vybráno od žáků</t>
  </si>
  <si>
    <t>518.70</t>
  </si>
  <si>
    <t>Náklady hrazeny žáky</t>
  </si>
  <si>
    <t>Nevyčerpaná dotace</t>
  </si>
  <si>
    <t>672.10</t>
  </si>
  <si>
    <t>669.10</t>
  </si>
  <si>
    <t>547.10</t>
  </si>
  <si>
    <t>542.10</t>
  </si>
  <si>
    <t>Jiné pokuty a penále</t>
  </si>
  <si>
    <t>Zničené potraviny</t>
  </si>
  <si>
    <t>501.21 - pracovní oděvy</t>
  </si>
  <si>
    <t>672.11</t>
  </si>
  <si>
    <t>672.20</t>
  </si>
  <si>
    <t>Krytí obecní dotace</t>
  </si>
  <si>
    <t>672.</t>
  </si>
  <si>
    <t>558.</t>
  </si>
  <si>
    <t>521.20 - OPPP ostatní</t>
  </si>
  <si>
    <t>521.10</t>
  </si>
  <si>
    <t>Mzdové náklady obec</t>
  </si>
  <si>
    <t>521.11 - Platy SR</t>
  </si>
  <si>
    <t>602.310</t>
  </si>
  <si>
    <t>Vyúčtování obědů zaměstnanců k</t>
  </si>
  <si>
    <t>Materiál na skladě</t>
  </si>
  <si>
    <t>518.</t>
  </si>
  <si>
    <t>518.91 - programy</t>
  </si>
  <si>
    <t xml:space="preserve">OPPP </t>
  </si>
  <si>
    <t>HV ve schvalovacím řízení</t>
  </si>
  <si>
    <t xml:space="preserve">Vyúčtování dotace od OÚ Roztoky k </t>
  </si>
  <si>
    <t>SP a ZP obec</t>
  </si>
  <si>
    <t>524.</t>
  </si>
  <si>
    <t>521.30</t>
  </si>
  <si>
    <t>518.35</t>
  </si>
  <si>
    <t>Jiné sociální náklady</t>
  </si>
  <si>
    <t>Ostatní výnosy</t>
  </si>
  <si>
    <t>501.40</t>
  </si>
  <si>
    <t>Učební pomůcky</t>
  </si>
  <si>
    <t>Dodavatelé, vč. časového rozlišení</t>
  </si>
  <si>
    <t>518.80</t>
  </si>
  <si>
    <t>Bankovní poplatky</t>
  </si>
  <si>
    <t>518.93</t>
  </si>
  <si>
    <t>Programy</t>
  </si>
  <si>
    <t>Výnosy celkem</t>
  </si>
  <si>
    <t>Příspěvek zřizovatele</t>
  </si>
  <si>
    <t>Ostatní dotace</t>
  </si>
  <si>
    <t>Zapojení fondů do výnosů</t>
  </si>
  <si>
    <t>6.</t>
  </si>
  <si>
    <t>Náklady celkem</t>
  </si>
  <si>
    <t>501.</t>
  </si>
  <si>
    <t>Spotřeba materiálu</t>
  </si>
  <si>
    <t>511.</t>
  </si>
  <si>
    <t>512.</t>
  </si>
  <si>
    <t>521.</t>
  </si>
  <si>
    <t>Zákonné sociální pojištění</t>
  </si>
  <si>
    <t>525.</t>
  </si>
  <si>
    <t>Jiné sociální pojištění</t>
  </si>
  <si>
    <t>527.</t>
  </si>
  <si>
    <t>Zákonné sociální náklady</t>
  </si>
  <si>
    <t>528.</t>
  </si>
  <si>
    <t>551.</t>
  </si>
  <si>
    <t>518.61 - Ostatní služby</t>
  </si>
  <si>
    <t>518.41</t>
  </si>
  <si>
    <t>Účetní služby</t>
  </si>
  <si>
    <t>558.40</t>
  </si>
  <si>
    <t>Náklady DHM</t>
  </si>
  <si>
    <t>524.13</t>
  </si>
  <si>
    <t>524.23</t>
  </si>
  <si>
    <t>Ušetřeno odvody</t>
  </si>
  <si>
    <t>DKP</t>
  </si>
  <si>
    <t>528.30</t>
  </si>
  <si>
    <t xml:space="preserve">Jiné sociální náklady </t>
  </si>
  <si>
    <t>Dotace SRPDŠ, ostatní</t>
  </si>
  <si>
    <t>Dotace ze SRPDŠ, ost.</t>
  </si>
  <si>
    <t>501.24</t>
  </si>
  <si>
    <t>Zůstatek dotace SRPDŠ, ostatních</t>
  </si>
  <si>
    <t>skutečnost</t>
  </si>
  <si>
    <t>649.10</t>
  </si>
  <si>
    <t>501.210</t>
  </si>
  <si>
    <t xml:space="preserve">Ostatní výnosy </t>
  </si>
  <si>
    <t>558.11 - Náklady DDHIM</t>
  </si>
  <si>
    <t>rozpočet</t>
  </si>
  <si>
    <t>odvody</t>
  </si>
  <si>
    <t>zbytek</t>
  </si>
  <si>
    <t>odvodů</t>
  </si>
  <si>
    <t>558.30</t>
  </si>
  <si>
    <t>DDHIM</t>
  </si>
  <si>
    <t>518.610</t>
  </si>
  <si>
    <t>Provozní dotace státní rozpočet</t>
  </si>
  <si>
    <t xml:space="preserve">Čerpání rozpočtu celkového k </t>
  </si>
  <si>
    <t>Návrh rozpočtu na rok 2021</t>
  </si>
  <si>
    <t>646.10</t>
  </si>
  <si>
    <t>Výnosy z prodeje HM</t>
  </si>
  <si>
    <t>542.</t>
  </si>
  <si>
    <t xml:space="preserve">542. </t>
  </si>
  <si>
    <t>Dotace celkem</t>
  </si>
  <si>
    <t xml:space="preserve">Platy </t>
  </si>
  <si>
    <t>501.600</t>
  </si>
  <si>
    <t>Drogistické potřeby</t>
  </si>
  <si>
    <t>527.20</t>
  </si>
  <si>
    <t>Zákonné soc. náklady</t>
  </si>
  <si>
    <t>501.80</t>
  </si>
  <si>
    <t>SM - roušky, testy</t>
  </si>
  <si>
    <t>Převod z účtu FKSP na běžný</t>
  </si>
  <si>
    <t>649.</t>
  </si>
  <si>
    <t>518.90</t>
  </si>
  <si>
    <t>vč. peněz na cestě</t>
  </si>
  <si>
    <t>569.</t>
  </si>
  <si>
    <t>569.30</t>
  </si>
  <si>
    <t>Ostatní fin. náklady</t>
  </si>
  <si>
    <t>Ostatní finanční náklady</t>
  </si>
  <si>
    <t>Přijaté stravné, vč. úspory</t>
  </si>
  <si>
    <t>521.21 - OPPP ÚZ33086</t>
  </si>
  <si>
    <t>ÚZ33086</t>
  </si>
  <si>
    <t>ÚZ 33087</t>
  </si>
  <si>
    <t>ÚZ 33088</t>
  </si>
  <si>
    <t>Odběratelé</t>
  </si>
  <si>
    <t>Zůstatek dotace - OP JAK</t>
  </si>
  <si>
    <t xml:space="preserve">Vyúčtování OP JAK k </t>
  </si>
  <si>
    <t>Rozpočet na rok 2023</t>
  </si>
  <si>
    <t>Poslední upravený rozpočet na rok 2023</t>
  </si>
  <si>
    <t>Aktuální skutečnost rok 2023</t>
  </si>
  <si>
    <t>Schválený rozpočet na rok 2023 - obec, vč. školného</t>
  </si>
  <si>
    <t>Schválený rozpočet na rok 2023 - SR</t>
  </si>
  <si>
    <t>Schválený rozpočet na rok 2023 - SRPDŠ, jiné dotace</t>
  </si>
  <si>
    <t>Aktuální  skutečnost rok 2023</t>
  </si>
  <si>
    <t>Schválený rozpočet na rok 2023 - stravné, CS</t>
  </si>
  <si>
    <t>672.30</t>
  </si>
  <si>
    <t>Dotace OP JAK</t>
  </si>
  <si>
    <t>Dotace - ESF vratka</t>
  </si>
  <si>
    <t>Rozpočtová změna č. 1 ze dne 28.2.2023:</t>
  </si>
  <si>
    <t>pol. č. 1</t>
  </si>
  <si>
    <t>V rámci rozpočtu zřizovatele převod z účtu 501. Spotřeba materiálu na účet 558. Náklady z DHIM částky 60 000,-- Kč</t>
  </si>
  <si>
    <t>Pol. č. 2</t>
  </si>
  <si>
    <t>Dle schváleného rozpočtu SR navýšení dotace o částku 638 332,-- Kč a v nákladech dle rozpočtu SR.</t>
  </si>
  <si>
    <t>Zastupitelstvo obce schválilo navýšení příspěvku zřizovatele o částku 50 000,-- Kč poskytnuté za účelem oslav školy, tím pádem rozpočet účtu 672.10 je v částce 670 000,-- Kč na rok 2023</t>
  </si>
  <si>
    <t>Rozpočtová změna č. 2 ze dne 31.3.2023:</t>
  </si>
  <si>
    <t>V rámci rozpočtu zřizovatele převod z účtu 501. Spotřeba materiálu na účet 558. Náklady z DHIM částky 50 000,-- Kč</t>
  </si>
  <si>
    <t>V rámci rozpočtu SR převod z účtu 501. Spotřeba materiálu na účet 518. Ostatní služby částky 10 000,-- Kč</t>
  </si>
  <si>
    <t>Rozpočtová změna č. 3 ze dne 30.4.2023:</t>
  </si>
  <si>
    <t>V rámci rozpočtu zřizovatele navýšení účtu 648. Čerpání fondů o částku 100 000,-- Kč a v nákladech účtu 501. Spotřeba materiálu o částku 50 000,-- Kč a účtu 558. Náklady z DHIM o částku 50 000,-- Kč</t>
  </si>
  <si>
    <t>V rámci rozpočtu SR dle upraveného rozpočtu k 15.4.2023 navýšení účtu 672. Výnosy vybraných vládních institucí o částku 33 920,-- Kč a v nákladech účtu 501. Spotřeba materiálu o částku 13 920,-- Kč a účtu 521. Mzdové náklady o částku 20 000,-- Kč</t>
  </si>
  <si>
    <t>Rozpočtová změna č. 4 ze dne 30.6.2023:</t>
  </si>
  <si>
    <t>V rámci rozpočtu zřizovatele převod z účtu 511. Opravy a udržování na účet 501. Spotřeba materiálu částky 30 000,-- Kč, převod z účtu 518. Ostatní služby na účet 512. Cestovné částky 2 000,-- Kč</t>
  </si>
  <si>
    <t>V rámci rozpočtu SRPDŠ navýšení tř. 6. Ostatní výnosy a účtu 501. Spotřeba materiálu o částku 5 000,-- Kč</t>
  </si>
  <si>
    <t>Rozpočtová změna č. 5 ze dne 31.8.2023:</t>
  </si>
  <si>
    <t>V rámci rozpočtu SR převod z účtu 524. Zákonné sociální pojištění na účet 518.Ostatní služby částky 8 000,-- Kč</t>
  </si>
  <si>
    <t>V rámci rozpočtu SRPDŠ navýšení tř. 6. Ostatní výnosy a účtu 501. Spotřeba materiálu o částku 10 000,-- Kč</t>
  </si>
  <si>
    <t>527.14</t>
  </si>
  <si>
    <t>Rozpočtová změna č. 6 ze dne 30.9.2023:</t>
  </si>
  <si>
    <t>V rámci rozpočtu SR převod z účtu 524. Zákonné sociální pojištění na účet 528. Ostatní sociální náklady částky 15 000,-- Kč</t>
  </si>
  <si>
    <t>pol. č. 2</t>
  </si>
  <si>
    <t>V rámci rozpočtu zřizovatele převod z účtu 558. Náklady z DHIM na účet 501. Spotřeba materiálu částky 50 000,-- Kč</t>
  </si>
  <si>
    <t>pol. č. 3</t>
  </si>
  <si>
    <t>V rámci dotace OP JAK převod z účtu 558. Náklady z DHIM na účet 524. Zákonné sociální pojištění částky 15 000,-- Kč a převod z účtu 558. Náklady z DHIM na účet 527. Zákonné sociální náklady čáskty 1 000,-- Kč</t>
  </si>
  <si>
    <t>Rozpočtová změna č. 7 ze dne 31.10.2023:</t>
  </si>
  <si>
    <t>V rámci rozpočtu SR převod z účtu 521. Mzdové náklady na účet 518. Ostatní služby částky 10 000,-- Kč</t>
  </si>
  <si>
    <t>V rámci rozpočtu zřizovatele převod z účtu 511. Opravy a udržování na účet 518. Ostatní služby částky 10 000,-- Kč, převod z účtu 501. Spotřeba materiálu na účet 518. Ostatní služby částky 10 000,-- Kč</t>
  </si>
  <si>
    <t>V rámci roztpočtu Potraviny, stravné navýšení tř. 6. Ostatní výnosy a účtu 501. Spotřeba materiálu o částku 80 000,-- Kč</t>
  </si>
  <si>
    <t>672.40</t>
  </si>
  <si>
    <t>Dotace Obědy do škol</t>
  </si>
  <si>
    <t>Schválený rozpočet na rok 2023 - OP JAK, Obědy do škol</t>
  </si>
  <si>
    <t>Zůstatek dotace Obědy do škol</t>
  </si>
  <si>
    <t>Rozpočtová změna č. 8 ze dne 30.11.2023:</t>
  </si>
  <si>
    <t>V rámci rozpočtu SR převod z účtu:</t>
  </si>
  <si>
    <t>521. Mzdové náklady na účet 518. Ostatní služby částky 10 000,-- Kč</t>
  </si>
  <si>
    <t>521. Mzdové náklady na účet 528,. Jiné sociální náklady částky 35 000,-- Kč</t>
  </si>
  <si>
    <t>524. Zákonné sociální pojištění na účet 558. Náklady z DHIM částky 25 000,-- Kč</t>
  </si>
  <si>
    <t>V rámci rozpočtu zřizovatele navýšení třídy 6. Ostatní výnosy a účtu 518. Ostatní služby o částku 50 000,-- Kč</t>
  </si>
  <si>
    <t>V rámci roztpočtu Potraviny, stravné navýšení tř. 6. Ostatní výnosy a účtu 501. Spotřeba materiálu o částku 63 000,-- Kč</t>
  </si>
  <si>
    <t>pol. č. 4</t>
  </si>
  <si>
    <t>V rámci rozpoičtu OP JAK, Obědy do škol navýšení účtu 672. Výnosy územních rozpočtů a účtu 501. Spotřeba materiálu o částku 21 000,-- Kč, z důvodu přijetí dotace z programu Obědy do škol</t>
  </si>
  <si>
    <t>pol. č. 5</t>
  </si>
  <si>
    <t>V rámci rozpočtu OP JAK, Obědy do škol převod z účtu 558. Náklady z DHIM na účty:</t>
  </si>
  <si>
    <t>521. Mzdové náklady částky 40 000,-- Kč</t>
  </si>
  <si>
    <t>528. Jiné sociální náklady částky 1 000,-- Kč</t>
  </si>
  <si>
    <t>vzhledem k upravenému rozpočtu k 11.12.2023</t>
  </si>
  <si>
    <t>Vyúčtování k 31.12.2023</t>
  </si>
  <si>
    <t>Zůstatek k 31.12.2023</t>
  </si>
  <si>
    <t>Mzdové náklady 12/23</t>
  </si>
  <si>
    <t>Provařeno na potravinách</t>
  </si>
  <si>
    <t>Nárok na dotaci SZIF</t>
  </si>
  <si>
    <t>Dotace - SZIF</t>
  </si>
  <si>
    <t>z toho Vyúčtování SZIF</t>
  </si>
  <si>
    <t>672.50</t>
  </si>
  <si>
    <t>Dotace SZIF</t>
  </si>
  <si>
    <t>558.50</t>
  </si>
  <si>
    <t>Náklady z DHIM</t>
  </si>
  <si>
    <t>Tato částka byla čerpána z rozpočtu zřizovatele.</t>
  </si>
  <si>
    <t>Rozpočtová změna č. 9 ze dne 31.12.2023:</t>
  </si>
  <si>
    <t>V rámci rozpočtu OP JAK, Obědy do školy převod z účtu:</t>
  </si>
  <si>
    <t>558. Náklady z DHIM na účet 501. Spotřeba materiálu částky 2 000,-- Kč</t>
  </si>
  <si>
    <t>558. Náklady z DHIM na účet 518. Ostatní služby částky 8 000,-- Kč</t>
  </si>
  <si>
    <t>521. Mzdové náklady na účet 524. Zákonné sociální pojištění částky 1 000,-- Kč</t>
  </si>
  <si>
    <t>522. Mzdové náklady na účet 528. Ostatní sociální náklady částky 1 200,-- Kč</t>
  </si>
  <si>
    <t>V rámci rozpočtu zřizovatele navýšení třídy 6. Ostatní výnosy a účtu 558. Náklady z DHIM o částku 20 500,-- Kč</t>
  </si>
  <si>
    <t>Převod z účtu 501. Spotřeba materiálu na účet 558 Náklady z DHIM částky 10 000,-- Kč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</si>
</sst>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1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57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0" fillId="2" borderId="2" xfId="0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0" fontId="0" fillId="2" borderId="4" xfId="0" applyFill="1" applyBorder="1"/>
    <xf numFmtId="164" fontId="0" fillId="2" borderId="5" xfId="0" applyNumberFormat="1" applyFill="1" applyBorder="1"/>
    <xf numFmtId="0" fontId="0" fillId="3" borderId="4" xfId="0" applyFill="1" applyBorder="1"/>
    <xf numFmtId="164" fontId="0" fillId="3" borderId="5" xfId="0" applyNumberFormat="1" applyFill="1" applyBorder="1"/>
    <xf numFmtId="0" fontId="0" fillId="4" borderId="2" xfId="0" applyFill="1" applyBorder="1"/>
    <xf numFmtId="164" fontId="0" fillId="4" borderId="0" xfId="0" applyNumberFormat="1" applyFill="1" applyBorder="1"/>
    <xf numFmtId="0" fontId="0" fillId="4" borderId="4" xfId="0" applyFill="1" applyBorder="1"/>
    <xf numFmtId="164" fontId="0" fillId="4" borderId="5" xfId="0" applyNumberFormat="1" applyFill="1" applyBorder="1"/>
    <xf numFmtId="164" fontId="0" fillId="4" borderId="6" xfId="0" applyNumberFormat="1" applyFill="1" applyBorder="1"/>
    <xf numFmtId="164" fontId="4" fillId="4" borderId="3" xfId="0" applyNumberFormat="1" applyFont="1" applyFill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4" borderId="11" xfId="0" applyFill="1" applyBorder="1"/>
    <xf numFmtId="164" fontId="0" fillId="4" borderId="12" xfId="0" applyNumberFormat="1" applyFill="1" applyBorder="1"/>
    <xf numFmtId="164" fontId="4" fillId="4" borderId="13" xfId="0" applyNumberFormat="1" applyFont="1" applyFill="1" applyBorder="1"/>
    <xf numFmtId="164" fontId="4" fillId="4" borderId="5" xfId="0" applyNumberFormat="1" applyFont="1" applyFill="1" applyBorder="1"/>
    <xf numFmtId="0" fontId="0" fillId="0" borderId="14" xfId="0" applyBorder="1"/>
    <xf numFmtId="0" fontId="0" fillId="0" borderId="14" xfId="0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0" xfId="0" applyNumberFormat="1" applyAlignment="1"/>
    <xf numFmtId="164" fontId="0" fillId="0" borderId="0" xfId="0" applyNumberFormat="1" applyBorder="1"/>
    <xf numFmtId="4" fontId="0" fillId="0" borderId="0" xfId="0" applyNumberFormat="1"/>
    <xf numFmtId="4" fontId="0" fillId="0" borderId="14" xfId="0" applyNumberFormat="1" applyBorder="1"/>
    <xf numFmtId="4" fontId="2" fillId="0" borderId="0" xfId="0" applyNumberFormat="1" applyFont="1"/>
    <xf numFmtId="164" fontId="7" fillId="4" borderId="3" xfId="0" applyNumberFormat="1" applyFont="1" applyFill="1" applyBorder="1"/>
    <xf numFmtId="4" fontId="2" fillId="0" borderId="0" xfId="0" applyNumberFormat="1" applyFont="1" applyBorder="1" applyAlignment="1">
      <alignment horizontal="right"/>
    </xf>
    <xf numFmtId="4" fontId="8" fillId="0" borderId="9" xfId="0" applyNumberFormat="1" applyFont="1" applyBorder="1"/>
    <xf numFmtId="4" fontId="9" fillId="0" borderId="0" xfId="0" applyNumberFormat="1" applyFont="1"/>
    <xf numFmtId="0" fontId="2" fillId="0" borderId="14" xfId="0" applyFont="1" applyBorder="1"/>
    <xf numFmtId="4" fontId="0" fillId="0" borderId="14" xfId="0" applyNumberFormat="1" applyBorder="1" applyAlignment="1">
      <alignment horizontal="right"/>
    </xf>
    <xf numFmtId="4" fontId="0" fillId="0" borderId="0" xfId="0" applyNumberFormat="1" applyBorder="1"/>
    <xf numFmtId="164" fontId="0" fillId="4" borderId="14" xfId="0" applyNumberFormat="1" applyFill="1" applyBorder="1"/>
    <xf numFmtId="164" fontId="4" fillId="4" borderId="15" xfId="0" applyNumberFormat="1" applyFont="1" applyFill="1" applyBorder="1"/>
    <xf numFmtId="4" fontId="2" fillId="0" borderId="7" xfId="0" applyNumberFormat="1" applyFont="1" applyBorder="1"/>
    <xf numFmtId="4" fontId="2" fillId="0" borderId="0" xfId="0" applyNumberFormat="1" applyFont="1" applyBorder="1"/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" fontId="2" fillId="0" borderId="1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2" fillId="0" borderId="0" xfId="0" applyFont="1" applyFill="1" applyBorder="1"/>
    <xf numFmtId="0" fontId="6" fillId="0" borderId="18" xfId="0" applyFont="1" applyBorder="1"/>
    <xf numFmtId="0" fontId="6" fillId="0" borderId="19" xfId="0" applyFont="1" applyBorder="1"/>
    <xf numFmtId="4" fontId="6" fillId="0" borderId="19" xfId="0" applyNumberFormat="1" applyFont="1" applyBorder="1"/>
    <xf numFmtId="14" fontId="10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2" borderId="2" xfId="0" applyFont="1" applyFill="1" applyBorder="1"/>
    <xf numFmtId="0" fontId="2" fillId="4" borderId="2" xfId="0" applyFont="1" applyFill="1" applyBorder="1"/>
    <xf numFmtId="164" fontId="6" fillId="2" borderId="3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0" fontId="6" fillId="0" borderId="0" xfId="0" applyFont="1" applyFill="1"/>
    <xf numFmtId="0" fontId="0" fillId="4" borderId="0" xfId="0" applyFill="1" applyBorder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20" xfId="0" applyFont="1" applyBorder="1"/>
    <xf numFmtId="0" fontId="6" fillId="0" borderId="21" xfId="0" applyFont="1" applyBorder="1"/>
    <xf numFmtId="4" fontId="6" fillId="0" borderId="21" xfId="0" applyNumberFormat="1" applyFont="1" applyBorder="1"/>
    <xf numFmtId="4" fontId="6" fillId="0" borderId="22" xfId="0" applyNumberFormat="1" applyFont="1" applyBorder="1"/>
    <xf numFmtId="4" fontId="6" fillId="0" borderId="23" xfId="0" applyNumberFormat="1" applyFont="1" applyBorder="1"/>
    <xf numFmtId="0" fontId="6" fillId="0" borderId="24" xfId="0" applyFont="1" applyBorder="1"/>
    <xf numFmtId="0" fontId="6" fillId="0" borderId="25" xfId="0" applyFont="1" applyBorder="1"/>
    <xf numFmtId="4" fontId="6" fillId="0" borderId="25" xfId="0" applyNumberFormat="1" applyFont="1" applyBorder="1"/>
    <xf numFmtId="4" fontId="6" fillId="0" borderId="26" xfId="0" applyNumberFormat="1" applyFont="1" applyBorder="1"/>
    <xf numFmtId="4" fontId="6" fillId="0" borderId="27" xfId="0" applyNumberFormat="1" applyFont="1" applyBorder="1"/>
    <xf numFmtId="0" fontId="6" fillId="0" borderId="28" xfId="0" applyFont="1" applyBorder="1"/>
    <xf numFmtId="0" fontId="6" fillId="0" borderId="29" xfId="0" applyFont="1" applyBorder="1"/>
    <xf numFmtId="4" fontId="6" fillId="0" borderId="29" xfId="0" applyNumberFormat="1" applyFont="1" applyBorder="1"/>
    <xf numFmtId="4" fontId="6" fillId="0" borderId="30" xfId="0" applyNumberFormat="1" applyFont="1" applyBorder="1"/>
    <xf numFmtId="4" fontId="6" fillId="0" borderId="31" xfId="0" applyNumberFormat="1" applyFont="1" applyBorder="1"/>
    <xf numFmtId="4" fontId="6" fillId="0" borderId="32" xfId="0" applyNumberFormat="1" applyFont="1" applyBorder="1"/>
    <xf numFmtId="4" fontId="6" fillId="0" borderId="33" xfId="0" applyNumberFormat="1" applyFont="1" applyBorder="1"/>
    <xf numFmtId="0" fontId="6" fillId="0" borderId="34" xfId="0" applyFont="1" applyBorder="1"/>
    <xf numFmtId="0" fontId="6" fillId="0" borderId="35" xfId="0" applyFont="1" applyBorder="1"/>
    <xf numFmtId="4" fontId="6" fillId="0" borderId="35" xfId="0" applyNumberFormat="1" applyFont="1" applyBorder="1"/>
    <xf numFmtId="0" fontId="6" fillId="0" borderId="36" xfId="0" applyFont="1" applyBorder="1"/>
    <xf numFmtId="0" fontId="6" fillId="0" borderId="37" xfId="0" applyFont="1" applyBorder="1"/>
    <xf numFmtId="4" fontId="6" fillId="0" borderId="37" xfId="0" applyNumberFormat="1" applyFont="1" applyBorder="1"/>
    <xf numFmtId="4" fontId="6" fillId="0" borderId="0" xfId="0" applyNumberFormat="1" applyFont="1"/>
    <xf numFmtId="0" fontId="6" fillId="0" borderId="7" xfId="0" applyFont="1" applyBorder="1"/>
    <xf numFmtId="4" fontId="6" fillId="0" borderId="7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4" fontId="2" fillId="0" borderId="38" xfId="0" applyNumberFormat="1" applyFont="1" applyBorder="1"/>
    <xf numFmtId="0" fontId="2" fillId="0" borderId="39" xfId="0" applyFont="1" applyBorder="1"/>
    <xf numFmtId="4" fontId="2" fillId="0" borderId="39" xfId="0" applyNumberFormat="1" applyFont="1" applyBorder="1"/>
    <xf numFmtId="4" fontId="2" fillId="0" borderId="40" xfId="0" applyNumberFormat="1" applyFont="1" applyBorder="1"/>
    <xf numFmtId="2" fontId="6" fillId="0" borderId="0" xfId="0" applyNumberFormat="1" applyFont="1"/>
    <xf numFmtId="14" fontId="5" fillId="0" borderId="6" xfId="0" applyNumberFormat="1" applyFont="1" applyBorder="1" applyAlignment="1">
      <alignment horizontal="left"/>
    </xf>
    <xf numFmtId="0" fontId="6" fillId="0" borderId="2" xfId="0" applyFont="1" applyBorder="1"/>
    <xf numFmtId="0" fontId="6" fillId="0" borderId="41" xfId="0" applyFont="1" applyBorder="1"/>
    <xf numFmtId="164" fontId="6" fillId="0" borderId="41" xfId="0" applyNumberFormat="1" applyFont="1" applyBorder="1"/>
    <xf numFmtId="164" fontId="6" fillId="0" borderId="3" xfId="0" applyNumberFormat="1" applyFont="1" applyBorder="1"/>
    <xf numFmtId="0" fontId="6" fillId="0" borderId="42" xfId="0" applyFont="1" applyBorder="1"/>
    <xf numFmtId="0" fontId="6" fillId="0" borderId="43" xfId="0" applyFont="1" applyBorder="1"/>
    <xf numFmtId="164" fontId="6" fillId="0" borderId="44" xfId="0" applyNumberFormat="1" applyFont="1" applyBorder="1"/>
    <xf numFmtId="0" fontId="6" fillId="0" borderId="4" xfId="0" applyFont="1" applyBorder="1"/>
    <xf numFmtId="164" fontId="6" fillId="0" borderId="35" xfId="0" applyNumberFormat="1" applyFont="1" applyBorder="1"/>
    <xf numFmtId="164" fontId="6" fillId="0" borderId="5" xfId="0" applyNumberFormat="1" applyFont="1" applyBorder="1"/>
    <xf numFmtId="0" fontId="6" fillId="0" borderId="7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6" fillId="0" borderId="42" xfId="0" applyFont="1" applyFill="1" applyBorder="1"/>
    <xf numFmtId="0" fontId="6" fillId="0" borderId="43" xfId="0" applyFont="1" applyFill="1" applyBorder="1"/>
    <xf numFmtId="164" fontId="6" fillId="0" borderId="44" xfId="0" applyNumberFormat="1" applyFont="1" applyFill="1" applyBorder="1"/>
    <xf numFmtId="0" fontId="6" fillId="0" borderId="4" xfId="0" applyFont="1" applyFill="1" applyBorder="1"/>
    <xf numFmtId="0" fontId="6" fillId="0" borderId="35" xfId="0" applyFont="1" applyFill="1" applyBorder="1"/>
    <xf numFmtId="164" fontId="6" fillId="0" borderId="45" xfId="0" applyNumberFormat="1" applyFont="1" applyBorder="1"/>
    <xf numFmtId="164" fontId="6" fillId="0" borderId="5" xfId="0" applyNumberFormat="1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6" fillId="0" borderId="46" xfId="0" applyFont="1" applyBorder="1"/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4" fontId="6" fillId="0" borderId="52" xfId="0" applyNumberFormat="1" applyFont="1" applyBorder="1"/>
    <xf numFmtId="164" fontId="6" fillId="0" borderId="43" xfId="0" applyNumberFormat="1" applyFont="1" applyBorder="1"/>
    <xf numFmtId="0" fontId="6" fillId="0" borderId="0" xfId="0" applyFont="1" applyAlignment="1">
      <alignment horizontal="right"/>
    </xf>
    <xf numFmtId="164" fontId="7" fillId="4" borderId="0" xfId="0" applyNumberFormat="1" applyFont="1" applyFill="1" applyBorder="1"/>
    <xf numFmtId="4" fontId="6" fillId="0" borderId="53" xfId="0" applyNumberFormat="1" applyFont="1" applyBorder="1"/>
    <xf numFmtId="0" fontId="5" fillId="0" borderId="0" xfId="0" applyFont="1" applyBorder="1" applyAlignment="1"/>
    <xf numFmtId="14" fontId="5" fillId="0" borderId="0" xfId="0" applyNumberFormat="1" applyFont="1" applyBorder="1" applyAlignment="1">
      <alignment horizontal="left"/>
    </xf>
    <xf numFmtId="0" fontId="2" fillId="0" borderId="46" xfId="0" applyFont="1" applyBorder="1"/>
    <xf numFmtId="0" fontId="2" fillId="0" borderId="54" xfId="0" applyFont="1" applyBorder="1"/>
    <xf numFmtId="4" fontId="2" fillId="0" borderId="55" xfId="0" applyNumberFormat="1" applyFont="1" applyBorder="1" applyAlignment="1">
      <alignment horizontal="right"/>
    </xf>
    <xf numFmtId="0" fontId="6" fillId="0" borderId="56" xfId="0" applyFont="1" applyBorder="1"/>
    <xf numFmtId="4" fontId="6" fillId="0" borderId="57" xfId="0" applyNumberFormat="1" applyFont="1" applyBorder="1"/>
    <xf numFmtId="4" fontId="2" fillId="0" borderId="55" xfId="0" applyNumberFormat="1" applyFont="1" applyBorder="1"/>
    <xf numFmtId="4" fontId="6" fillId="0" borderId="58" xfId="0" applyNumberFormat="1" applyFont="1" applyBorder="1"/>
    <xf numFmtId="0" fontId="6" fillId="0" borderId="59" xfId="0" applyFont="1" applyBorder="1"/>
    <xf numFmtId="4" fontId="6" fillId="0" borderId="60" xfId="0" applyNumberFormat="1" applyFont="1" applyBorder="1"/>
    <xf numFmtId="0" fontId="6" fillId="0" borderId="61" xfId="0" applyFont="1" applyBorder="1"/>
    <xf numFmtId="0" fontId="6" fillId="4" borderId="2" xfId="0" applyFont="1" applyFill="1" applyBorder="1"/>
    <xf numFmtId="164" fontId="6" fillId="0" borderId="14" xfId="0" applyNumberFormat="1" applyFont="1" applyBorder="1"/>
    <xf numFmtId="0" fontId="2" fillId="0" borderId="62" xfId="0" applyFont="1" applyBorder="1" applyAlignment="1">
      <alignment horizontal="center" vertical="center" wrapText="1"/>
    </xf>
    <xf numFmtId="0" fontId="6" fillId="0" borderId="38" xfId="0" applyFont="1" applyBorder="1"/>
    <xf numFmtId="0" fontId="6" fillId="0" borderId="63" xfId="0" applyFont="1" applyFill="1" applyBorder="1"/>
    <xf numFmtId="0" fontId="6" fillId="0" borderId="39" xfId="0" applyFont="1" applyBorder="1"/>
    <xf numFmtId="0" fontId="6" fillId="0" borderId="39" xfId="0" applyFont="1" applyFill="1" applyBorder="1"/>
    <xf numFmtId="4" fontId="6" fillId="0" borderId="40" xfId="0" applyNumberFormat="1" applyFont="1" applyBorder="1"/>
    <xf numFmtId="164" fontId="13" fillId="0" borderId="14" xfId="0" applyNumberFormat="1" applyFont="1" applyBorder="1"/>
    <xf numFmtId="4" fontId="13" fillId="0" borderId="14" xfId="0" applyNumberFormat="1" applyFont="1" applyBorder="1" applyAlignment="1">
      <alignment horizontal="right"/>
    </xf>
    <xf numFmtId="4" fontId="13" fillId="0" borderId="0" xfId="0" applyNumberFormat="1" applyFont="1" applyFill="1" applyAlignment="1">
      <alignment horizontal="right"/>
    </xf>
    <xf numFmtId="164" fontId="13" fillId="0" borderId="0" xfId="0" applyNumberFormat="1" applyFont="1"/>
    <xf numFmtId="4" fontId="14" fillId="0" borderId="0" xfId="0" applyNumberFormat="1" applyFont="1" applyBorder="1" applyAlignment="1">
      <alignment horizontal="right"/>
    </xf>
    <xf numFmtId="164" fontId="6" fillId="3" borderId="6" xfId="0" applyNumberFormat="1" applyFont="1" applyFill="1" applyBorder="1"/>
    <xf numFmtId="0" fontId="13" fillId="0" borderId="0" xfId="0" applyFont="1"/>
    <xf numFmtId="4" fontId="13" fillId="0" borderId="0" xfId="0" applyNumberFormat="1" applyFont="1"/>
    <xf numFmtId="164" fontId="6" fillId="0" borderId="3" xfId="0" applyNumberFormat="1" applyFont="1" applyBorder="1" applyAlignment="1">
      <alignment horizontal="center"/>
    </xf>
    <xf numFmtId="0" fontId="6" fillId="4" borderId="64" xfId="0" applyFont="1" applyFill="1" applyBorder="1"/>
    <xf numFmtId="2" fontId="13" fillId="0" borderId="0" xfId="0" applyNumberFormat="1" applyFont="1"/>
    <xf numFmtId="0" fontId="6" fillId="0" borderId="0" xfId="0" applyFont="1" applyAlignment="1"/>
    <xf numFmtId="14" fontId="10" fillId="0" borderId="0" xfId="0" applyNumberFormat="1" applyFont="1" applyAlignment="1"/>
    <xf numFmtId="3" fontId="13" fillId="0" borderId="0" xfId="0" applyNumberFormat="1" applyFont="1"/>
    <xf numFmtId="4" fontId="13" fillId="0" borderId="0" xfId="0" applyNumberFormat="1" applyFont="1" applyAlignment="1">
      <alignment horizontal="right"/>
    </xf>
    <xf numFmtId="1" fontId="13" fillId="0" borderId="0" xfId="0" applyNumberFormat="1" applyFont="1"/>
    <xf numFmtId="0" fontId="6" fillId="2" borderId="2" xfId="0" applyFont="1" applyFill="1" applyBorder="1"/>
    <xf numFmtId="0" fontId="12" fillId="0" borderId="0" xfId="0" applyFont="1"/>
    <xf numFmtId="4" fontId="6" fillId="0" borderId="0" xfId="0" applyNumberFormat="1" applyFont="1" applyBorder="1"/>
    <xf numFmtId="4" fontId="6" fillId="0" borderId="65" xfId="0" applyNumberFormat="1" applyFont="1" applyBorder="1"/>
    <xf numFmtId="4" fontId="6" fillId="0" borderId="66" xfId="0" applyNumberFormat="1" applyFont="1" applyBorder="1"/>
    <xf numFmtId="0" fontId="6" fillId="0" borderId="67" xfId="0" applyFont="1" applyBorder="1"/>
    <xf numFmtId="0" fontId="6" fillId="0" borderId="68" xfId="0" applyFont="1" applyBorder="1"/>
    <xf numFmtId="4" fontId="6" fillId="0" borderId="69" xfId="0" applyNumberFormat="1" applyFont="1" applyBorder="1"/>
    <xf numFmtId="0" fontId="6" fillId="0" borderId="70" xfId="0" applyFont="1" applyBorder="1"/>
    <xf numFmtId="4" fontId="6" fillId="0" borderId="71" xfId="0" applyNumberFormat="1" applyFont="1" applyBorder="1"/>
    <xf numFmtId="4" fontId="6" fillId="0" borderId="72" xfId="0" applyNumberFormat="1" applyFont="1" applyBorder="1"/>
    <xf numFmtId="4" fontId="6" fillId="0" borderId="73" xfId="0" applyNumberFormat="1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zoomScaleNormal="100" workbookViewId="0">
      <selection activeCell="C38" sqref="C38"/>
    </sheetView>
  </sheetViews>
  <sheetFormatPr defaultRowHeight="12.75"/>
  <cols>
    <col min="1" max="1" width="22.140625" customWidth="1"/>
    <col min="2" max="2" width="15.7109375" bestFit="1" customWidth="1"/>
    <col min="3" max="3" width="25.42578125" customWidth="1"/>
    <col min="4" max="4" width="15.7109375" style="1" bestFit="1" customWidth="1"/>
    <col min="5" max="5" width="15.7109375" style="1" customWidth="1"/>
    <col min="6" max="6" width="15.28515625" style="158" hidden="1" customWidth="1"/>
    <col min="7" max="7" width="14.7109375" style="162" hidden="1" customWidth="1"/>
    <col min="8" max="8" width="18.7109375" style="162" hidden="1" customWidth="1"/>
    <col min="9" max="9" width="9.140625" style="162" customWidth="1"/>
    <col min="10" max="11" width="14.7109375" style="162" bestFit="1" customWidth="1"/>
    <col min="12" max="14" width="9.140625" style="162"/>
  </cols>
  <sheetData>
    <row r="1" spans="1:11" ht="15">
      <c r="A1" s="188" t="s">
        <v>260</v>
      </c>
      <c r="B1" s="188"/>
      <c r="C1" s="188"/>
      <c r="D1" s="188"/>
      <c r="E1" s="188"/>
    </row>
    <row r="2" spans="1:11" ht="15">
      <c r="A2" s="188" t="s">
        <v>259</v>
      </c>
      <c r="B2" s="188"/>
      <c r="C2" s="188"/>
      <c r="D2" s="188"/>
      <c r="E2" s="188"/>
    </row>
    <row r="4" spans="1:11" ht="13.5" thickBot="1"/>
    <row r="5" spans="1:11" ht="13.5" thickBot="1">
      <c r="A5" s="4" t="s">
        <v>0</v>
      </c>
      <c r="B5" s="19" t="s">
        <v>1</v>
      </c>
      <c r="C5" s="4" t="s">
        <v>4</v>
      </c>
      <c r="D5" s="20" t="s">
        <v>2</v>
      </c>
      <c r="E5" s="21" t="s">
        <v>3</v>
      </c>
      <c r="F5" s="158" t="s">
        <v>164</v>
      </c>
      <c r="G5" s="162" t="s">
        <v>159</v>
      </c>
      <c r="H5" s="162" t="s">
        <v>166</v>
      </c>
    </row>
    <row r="6" spans="1:11" ht="14.25" thickTop="1" thickBot="1">
      <c r="A6" s="10" t="s">
        <v>178</v>
      </c>
      <c r="B6" s="11">
        <f>SUM(B7:B18)</f>
        <v>11093249</v>
      </c>
      <c r="C6" s="10" t="s">
        <v>96</v>
      </c>
      <c r="D6" s="161">
        <v>11093249</v>
      </c>
      <c r="E6" s="11"/>
      <c r="F6" s="158" t="s">
        <v>165</v>
      </c>
      <c r="G6" s="166" t="s">
        <v>165</v>
      </c>
      <c r="H6" s="159" t="s">
        <v>167</v>
      </c>
    </row>
    <row r="7" spans="1:11">
      <c r="A7" s="172" t="s">
        <v>179</v>
      </c>
      <c r="B7" s="6">
        <f>8117195-25920-57740-54030-47865</f>
        <v>7931640</v>
      </c>
      <c r="C7" s="5" t="s">
        <v>104</v>
      </c>
      <c r="D7" s="7"/>
      <c r="E7" s="6">
        <v>7931640</v>
      </c>
      <c r="F7" s="158">
        <f>E7</f>
        <v>7931640</v>
      </c>
      <c r="G7" s="159"/>
      <c r="H7" s="170">
        <f>B7+B8-E7</f>
        <v>81000</v>
      </c>
    </row>
    <row r="8" spans="1:11">
      <c r="A8" s="5" t="s">
        <v>110</v>
      </c>
      <c r="B8" s="6">
        <f>55080+25920</f>
        <v>81000</v>
      </c>
      <c r="C8" s="5" t="s">
        <v>101</v>
      </c>
      <c r="D8" s="7"/>
      <c r="E8" s="6">
        <v>81000</v>
      </c>
      <c r="F8" s="158">
        <f>E7+E8</f>
        <v>8012640</v>
      </c>
      <c r="G8" s="159"/>
      <c r="H8" s="163">
        <f>B8-E8</f>
        <v>0</v>
      </c>
    </row>
    <row r="9" spans="1:11">
      <c r="A9" s="5" t="s">
        <v>196</v>
      </c>
      <c r="B9" s="6">
        <f>0+13920</f>
        <v>13920</v>
      </c>
      <c r="C9" s="5" t="s">
        <v>195</v>
      </c>
      <c r="D9" s="7"/>
      <c r="E9" s="6">
        <v>13920</v>
      </c>
      <c r="G9" s="169">
        <f>F8*33.8/100</f>
        <v>2708272.32</v>
      </c>
      <c r="H9" s="163">
        <f>B9-E9</f>
        <v>0</v>
      </c>
      <c r="K9" s="159"/>
    </row>
    <row r="10" spans="1:11">
      <c r="A10" s="60" t="s">
        <v>5</v>
      </c>
      <c r="B10" s="62">
        <f>2762228+4705-4705-8761+8761-19517-18262-16179+1</f>
        <v>2708271</v>
      </c>
      <c r="C10" s="5" t="s">
        <v>47</v>
      </c>
      <c r="D10" s="7"/>
      <c r="E10" s="6">
        <v>1979123</v>
      </c>
      <c r="G10" s="159"/>
      <c r="H10" s="163">
        <f>B10-E10-E11</f>
        <v>8626</v>
      </c>
    </row>
    <row r="11" spans="1:11">
      <c r="A11" s="5"/>
      <c r="B11" s="6"/>
      <c r="C11" s="5" t="s">
        <v>48</v>
      </c>
      <c r="D11" s="7"/>
      <c r="E11" s="6">
        <v>720522</v>
      </c>
      <c r="F11" s="158">
        <f>E10+E11</f>
        <v>2699645</v>
      </c>
      <c r="G11" s="169">
        <f>G9-F11</f>
        <v>8627.3199999998324</v>
      </c>
      <c r="H11" s="159"/>
      <c r="J11" s="163"/>
    </row>
    <row r="12" spans="1:11">
      <c r="A12" s="5" t="s">
        <v>6</v>
      </c>
      <c r="B12" s="6">
        <f>162343-518-1155-1081-957</f>
        <v>158632</v>
      </c>
      <c r="C12" s="5" t="s">
        <v>74</v>
      </c>
      <c r="D12" s="7"/>
      <c r="E12" s="6">
        <v>158634</v>
      </c>
      <c r="F12" s="158">
        <f>E12</f>
        <v>158634</v>
      </c>
      <c r="G12" s="169">
        <f>F7*2/100</f>
        <v>158632.79999999999</v>
      </c>
      <c r="H12" s="163">
        <f>B12-E12</f>
        <v>-2</v>
      </c>
      <c r="J12" s="159"/>
    </row>
    <row r="13" spans="1:11" ht="13.5" thickBot="1">
      <c r="A13" s="8"/>
      <c r="B13" s="9"/>
      <c r="C13" s="5"/>
      <c r="D13" s="7"/>
      <c r="E13" s="6"/>
      <c r="G13" s="169">
        <f>G12-F12</f>
        <v>-1.2000000000116415</v>
      </c>
      <c r="H13" s="163"/>
    </row>
    <row r="14" spans="1:11">
      <c r="A14" s="12" t="s">
        <v>41</v>
      </c>
      <c r="B14" s="17">
        <f>88920-1700+65000</f>
        <v>152220</v>
      </c>
      <c r="C14" s="24" t="s">
        <v>49</v>
      </c>
      <c r="D14" s="25" t="s">
        <v>8</v>
      </c>
      <c r="E14" s="26">
        <v>20349.560000000001</v>
      </c>
      <c r="G14" s="163"/>
      <c r="H14" s="163"/>
    </row>
    <row r="15" spans="1:11">
      <c r="A15" s="12" t="s">
        <v>42</v>
      </c>
      <c r="B15" s="17">
        <f>19350</f>
        <v>19350</v>
      </c>
      <c r="C15" s="12" t="s">
        <v>95</v>
      </c>
      <c r="D15" s="13" t="s">
        <v>8</v>
      </c>
      <c r="E15" s="17">
        <v>1771.44</v>
      </c>
    </row>
    <row r="16" spans="1:11">
      <c r="A16" s="12" t="s">
        <v>44</v>
      </c>
      <c r="B16" s="37">
        <f>8216</f>
        <v>8216</v>
      </c>
      <c r="C16" s="12" t="s">
        <v>50</v>
      </c>
      <c r="D16" s="13"/>
      <c r="E16" s="17">
        <v>0</v>
      </c>
    </row>
    <row r="17" spans="1:8">
      <c r="A17" s="12" t="s">
        <v>197</v>
      </c>
      <c r="B17" s="37">
        <f>0</f>
        <v>0</v>
      </c>
      <c r="C17" s="12" t="s">
        <v>51</v>
      </c>
      <c r="D17" s="13"/>
      <c r="E17" s="17">
        <v>10390</v>
      </c>
      <c r="G17" s="166"/>
    </row>
    <row r="18" spans="1:8">
      <c r="A18" s="12" t="s">
        <v>198</v>
      </c>
      <c r="B18" s="134">
        <f>0+20000</f>
        <v>20000</v>
      </c>
      <c r="C18" s="148" t="s">
        <v>144</v>
      </c>
      <c r="D18" s="13"/>
      <c r="E18" s="17">
        <v>12750</v>
      </c>
      <c r="G18" s="166"/>
    </row>
    <row r="19" spans="1:8">
      <c r="A19" s="12"/>
      <c r="B19" s="134"/>
      <c r="C19" s="12" t="s">
        <v>109</v>
      </c>
      <c r="D19" s="13"/>
      <c r="E19" s="17">
        <v>15928</v>
      </c>
      <c r="G19" s="166"/>
    </row>
    <row r="20" spans="1:8">
      <c r="A20" s="12"/>
      <c r="B20" s="66"/>
      <c r="C20" s="12" t="s">
        <v>52</v>
      </c>
      <c r="D20" s="13"/>
      <c r="E20" s="17">
        <v>33782</v>
      </c>
      <c r="G20" s="159"/>
    </row>
    <row r="21" spans="1:8">
      <c r="A21" s="61"/>
      <c r="B21" s="17"/>
      <c r="C21" s="12" t="s">
        <v>79</v>
      </c>
      <c r="D21" s="13"/>
      <c r="E21" s="17">
        <v>93439</v>
      </c>
      <c r="H21" s="166"/>
    </row>
    <row r="22" spans="1:8">
      <c r="A22" s="61"/>
      <c r="B22" s="17"/>
      <c r="C22" s="165" t="s">
        <v>163</v>
      </c>
      <c r="D22" s="44"/>
      <c r="E22" s="45">
        <v>20000</v>
      </c>
      <c r="H22" s="166"/>
    </row>
    <row r="23" spans="1:8" ht="13.5" thickBot="1">
      <c r="A23" s="14"/>
      <c r="B23" s="15"/>
      <c r="C23" s="14" t="s">
        <v>45</v>
      </c>
      <c r="D23" s="16">
        <f>SUM(D6)</f>
        <v>11093249</v>
      </c>
      <c r="E23" s="27">
        <f>SUM(E7:E22)</f>
        <v>11093249</v>
      </c>
      <c r="F23" s="158">
        <f>D23-E23</f>
        <v>0</v>
      </c>
      <c r="G23" s="171">
        <f>G11+G13</f>
        <v>8626.1199999998207</v>
      </c>
      <c r="H23" s="159">
        <f>SUM(H7:H22)</f>
        <v>89624</v>
      </c>
    </row>
    <row r="26" spans="1:8">
      <c r="A26" s="28" t="s">
        <v>0</v>
      </c>
      <c r="B26" s="31" t="s">
        <v>1</v>
      </c>
      <c r="C26" s="29" t="s">
        <v>36</v>
      </c>
      <c r="D26" s="149" t="s">
        <v>151</v>
      </c>
      <c r="E26" s="30" t="s">
        <v>29</v>
      </c>
      <c r="F26" s="158">
        <f>B6-E23</f>
        <v>0</v>
      </c>
    </row>
    <row r="27" spans="1:8">
      <c r="A27" s="2" t="s">
        <v>41</v>
      </c>
      <c r="B27" s="32">
        <f>B14+B18</f>
        <v>172220</v>
      </c>
      <c r="C27" s="32"/>
      <c r="E27" s="32"/>
    </row>
    <row r="28" spans="1:8">
      <c r="A28" s="2" t="s">
        <v>44</v>
      </c>
      <c r="B28" s="32">
        <f>B16</f>
        <v>8216</v>
      </c>
      <c r="C28" s="32"/>
      <c r="E28" s="32"/>
    </row>
    <row r="29" spans="1:8">
      <c r="A29" s="41" t="s">
        <v>42</v>
      </c>
      <c r="B29" s="35">
        <f>B15+B17</f>
        <v>19350</v>
      </c>
      <c r="C29" s="42"/>
      <c r="D29" s="156"/>
      <c r="E29" s="157"/>
    </row>
    <row r="30" spans="1:8">
      <c r="A30" s="54" t="s">
        <v>78</v>
      </c>
      <c r="B30" s="34">
        <f>SUM(B27:B29)</f>
        <v>199786</v>
      </c>
      <c r="C30" s="1">
        <f>SUM(E14:E22)</f>
        <v>208410</v>
      </c>
      <c r="D30" s="169">
        <v>8624</v>
      </c>
      <c r="E30" s="160">
        <f>B30-C30+D30</f>
        <v>0</v>
      </c>
    </row>
    <row r="31" spans="1:8">
      <c r="C31" s="1"/>
      <c r="D31" s="38"/>
    </row>
    <row r="32" spans="1:8" ht="13.5" thickBot="1">
      <c r="A32" s="18" t="s">
        <v>38</v>
      </c>
    </row>
    <row r="33" spans="1:3" ht="13.5" thickTop="1"/>
    <row r="34" spans="1:3">
      <c r="A34" s="67" t="s">
        <v>261</v>
      </c>
      <c r="C34" s="93">
        <v>2650825.27</v>
      </c>
    </row>
    <row r="35" spans="1:3">
      <c r="A35" s="67" t="s">
        <v>121</v>
      </c>
      <c r="C35" s="34">
        <v>-3971.43</v>
      </c>
    </row>
    <row r="36" spans="1:3">
      <c r="A36" s="67" t="s">
        <v>199</v>
      </c>
      <c r="C36" s="34">
        <v>0</v>
      </c>
    </row>
    <row r="37" spans="1:3">
      <c r="A37" t="s">
        <v>107</v>
      </c>
      <c r="C37" s="34">
        <v>49691.95</v>
      </c>
    </row>
    <row r="38" spans="1:3">
      <c r="A38" t="s">
        <v>263</v>
      </c>
      <c r="C38" s="34">
        <v>6108.02</v>
      </c>
    </row>
    <row r="39" spans="1:3">
      <c r="A39" s="67" t="s">
        <v>194</v>
      </c>
      <c r="C39" s="34">
        <v>-56063</v>
      </c>
    </row>
    <row r="40" spans="1:3">
      <c r="A40" t="s">
        <v>88</v>
      </c>
      <c r="C40" s="34">
        <f>-1847477-1902966-33920-1865319-1869489-1839538-1734540+D23</f>
        <v>0</v>
      </c>
    </row>
    <row r="41" spans="1:3">
      <c r="A41" s="67" t="s">
        <v>200</v>
      </c>
      <c r="C41" s="34">
        <f>-'OBEC '!D118</f>
        <v>-604248.91</v>
      </c>
    </row>
    <row r="42" spans="1:3">
      <c r="A42" s="67" t="s">
        <v>245</v>
      </c>
      <c r="C42" s="34">
        <f>-20376.5+'OBEC '!C58</f>
        <v>-10046.5</v>
      </c>
    </row>
    <row r="43" spans="1:3">
      <c r="A43" s="67" t="s">
        <v>264</v>
      </c>
      <c r="C43" s="34">
        <v>47401</v>
      </c>
    </row>
    <row r="44" spans="1:3">
      <c r="A44" s="67" t="s">
        <v>186</v>
      </c>
      <c r="C44" s="34">
        <v>0</v>
      </c>
    </row>
    <row r="45" spans="1:3">
      <c r="A45" s="67" t="s">
        <v>158</v>
      </c>
      <c r="C45" s="34">
        <f>-'OBEC '!D99</f>
        <v>0</v>
      </c>
    </row>
    <row r="46" spans="1:3">
      <c r="A46" s="67" t="s">
        <v>262</v>
      </c>
      <c r="C46" s="43">
        <v>-1169938</v>
      </c>
    </row>
    <row r="47" spans="1:3">
      <c r="A47" t="s">
        <v>43</v>
      </c>
      <c r="C47" s="35">
        <f>-'OBEC '!D63</f>
        <v>0</v>
      </c>
    </row>
    <row r="48" spans="1:3">
      <c r="C48" s="43">
        <f>SUM(C34:C47)</f>
        <v>909758.39999999991</v>
      </c>
    </row>
    <row r="49" spans="1:5" hidden="1">
      <c r="A49" t="s">
        <v>111</v>
      </c>
      <c r="C49" s="47">
        <v>0</v>
      </c>
    </row>
    <row r="50" spans="1:5">
      <c r="A50" t="s">
        <v>39</v>
      </c>
      <c r="C50" s="36">
        <v>-697509</v>
      </c>
    </row>
    <row r="51" spans="1:5" ht="13.5" thickBot="1">
      <c r="A51" t="s">
        <v>40</v>
      </c>
      <c r="C51" s="36">
        <v>-235618.4</v>
      </c>
    </row>
    <row r="52" spans="1:5" ht="13.5" thickBot="1">
      <c r="C52" s="39">
        <f>C48+C50+C51+C49</f>
        <v>-23369.000000000087</v>
      </c>
      <c r="E52" s="33"/>
    </row>
    <row r="53" spans="1:5" ht="13.5" thickTop="1">
      <c r="C53" s="40"/>
    </row>
    <row r="54" spans="1:5" ht="13.5" thickBot="1">
      <c r="A54" s="18" t="s">
        <v>84</v>
      </c>
      <c r="C54" s="34"/>
    </row>
    <row r="55" spans="1:5" ht="13.5" thickTop="1"/>
    <row r="56" spans="1:5">
      <c r="A56" s="67" t="s">
        <v>261</v>
      </c>
      <c r="C56" s="59">
        <v>23369</v>
      </c>
      <c r="D56" s="1" t="s">
        <v>189</v>
      </c>
    </row>
    <row r="58" spans="1:5">
      <c r="A58" s="63" t="s">
        <v>98</v>
      </c>
      <c r="B58" s="63"/>
      <c r="C58" s="64">
        <f>SUM(C52:C56)</f>
        <v>-8.7311491370201111E-11</v>
      </c>
    </row>
  </sheetData>
  <mergeCells count="2">
    <mergeCell ref="A1:E1"/>
    <mergeCell ref="A2:E2"/>
  </mergeCells>
  <phoneticPr fontId="1" type="noConversion"/>
  <printOptions horizontalCentered="1"/>
  <pageMargins left="0.3" right="0.3" top="0.24" bottom="0.2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8"/>
  <sheetViews>
    <sheetView topLeftCell="A26" workbookViewId="0">
      <selection activeCell="C38" sqref="C38"/>
    </sheetView>
  </sheetViews>
  <sheetFormatPr defaultRowHeight="12.75"/>
  <cols>
    <col min="1" max="1" width="9.42578125" style="67" customWidth="1"/>
    <col min="2" max="2" width="22.140625" style="67" customWidth="1"/>
    <col min="3" max="3" width="18.28515625" style="67" bestFit="1" customWidth="1"/>
    <col min="4" max="4" width="17.85546875" style="68" bestFit="1" customWidth="1"/>
    <col min="5" max="5" width="16.5703125" style="67" bestFit="1" customWidth="1"/>
    <col min="6" max="6" width="12.5703125" style="67" bestFit="1" customWidth="1"/>
    <col min="7" max="16384" width="9.140625" style="67"/>
  </cols>
  <sheetData>
    <row r="1" spans="1:7" ht="15">
      <c r="A1" s="189" t="s">
        <v>112</v>
      </c>
      <c r="B1" s="189"/>
      <c r="C1" s="189"/>
      <c r="D1" s="137">
        <v>45291</v>
      </c>
      <c r="E1" s="136"/>
    </row>
    <row r="2" spans="1:7" ht="13.5" thickBot="1"/>
    <row r="3" spans="1:7" s="69" customFormat="1" ht="16.5" customHeight="1" thickBot="1">
      <c r="A3" s="48" t="s">
        <v>10</v>
      </c>
      <c r="B3" s="49" t="s">
        <v>0</v>
      </c>
      <c r="C3" s="50" t="s">
        <v>70</v>
      </c>
      <c r="D3" s="52" t="s">
        <v>71</v>
      </c>
      <c r="E3" s="51" t="s">
        <v>72</v>
      </c>
    </row>
    <row r="4" spans="1:7" ht="13.5" thickTop="1">
      <c r="A4" s="70" t="s">
        <v>11</v>
      </c>
      <c r="B4" s="71" t="s">
        <v>12</v>
      </c>
      <c r="C4" s="72">
        <v>109466</v>
      </c>
      <c r="D4" s="73">
        <v>6600</v>
      </c>
      <c r="E4" s="74">
        <f t="shared" ref="E4:E11" si="0">SUM(C4:D4)</f>
        <v>116066</v>
      </c>
    </row>
    <row r="5" spans="1:7">
      <c r="A5" s="80" t="s">
        <v>76</v>
      </c>
      <c r="B5" s="81" t="s">
        <v>77</v>
      </c>
      <c r="C5" s="82">
        <v>131223</v>
      </c>
      <c r="D5" s="83">
        <v>-30553.16</v>
      </c>
      <c r="E5" s="79">
        <f t="shared" si="0"/>
        <v>100669.84</v>
      </c>
    </row>
    <row r="6" spans="1:7">
      <c r="A6" s="80" t="s">
        <v>174</v>
      </c>
      <c r="B6" s="81" t="s">
        <v>175</v>
      </c>
      <c r="C6" s="82">
        <v>0</v>
      </c>
      <c r="D6" s="83">
        <v>0</v>
      </c>
      <c r="E6" s="79">
        <f t="shared" si="0"/>
        <v>0</v>
      </c>
    </row>
    <row r="7" spans="1:7">
      <c r="A7" s="80" t="s">
        <v>187</v>
      </c>
      <c r="B7" s="81" t="s">
        <v>118</v>
      </c>
      <c r="C7" s="82">
        <v>814.98</v>
      </c>
      <c r="D7" s="83">
        <v>0</v>
      </c>
      <c r="E7" s="79">
        <f t="shared" si="0"/>
        <v>814.98</v>
      </c>
    </row>
    <row r="8" spans="1:7">
      <c r="A8" s="80" t="s">
        <v>90</v>
      </c>
      <c r="B8" s="81" t="s">
        <v>85</v>
      </c>
      <c r="C8" s="82">
        <v>147430</v>
      </c>
      <c r="D8" s="83">
        <v>4200</v>
      </c>
      <c r="E8" s="84">
        <f t="shared" si="0"/>
        <v>151630</v>
      </c>
    </row>
    <row r="9" spans="1:7">
      <c r="A9" s="80" t="s">
        <v>89</v>
      </c>
      <c r="B9" s="81" t="s">
        <v>13</v>
      </c>
      <c r="C9" s="82">
        <v>670000</v>
      </c>
      <c r="D9" s="83">
        <v>0</v>
      </c>
      <c r="E9" s="84">
        <f t="shared" si="0"/>
        <v>670000</v>
      </c>
      <c r="G9" s="133"/>
    </row>
    <row r="10" spans="1:7">
      <c r="A10" s="75" t="s">
        <v>210</v>
      </c>
      <c r="B10" s="76" t="s">
        <v>212</v>
      </c>
      <c r="C10" s="77">
        <v>-21495</v>
      </c>
      <c r="D10" s="78">
        <v>0</v>
      </c>
      <c r="E10" s="79">
        <f t="shared" si="0"/>
        <v>-21495</v>
      </c>
      <c r="G10" s="133"/>
    </row>
    <row r="11" spans="1:7" ht="13.5" thickBot="1">
      <c r="A11" s="55" t="s">
        <v>242</v>
      </c>
      <c r="B11" s="56" t="s">
        <v>265</v>
      </c>
      <c r="C11" s="57">
        <v>0</v>
      </c>
      <c r="D11" s="85">
        <v>47401</v>
      </c>
      <c r="E11" s="86">
        <f t="shared" si="0"/>
        <v>47401</v>
      </c>
      <c r="G11" s="133"/>
    </row>
    <row r="12" spans="1:7">
      <c r="A12" s="70" t="s">
        <v>7</v>
      </c>
      <c r="B12" s="71" t="s">
        <v>14</v>
      </c>
      <c r="C12" s="72">
        <v>0</v>
      </c>
      <c r="D12" s="73">
        <v>0</v>
      </c>
      <c r="E12" s="74">
        <f t="shared" ref="E12:E34" si="1">SUM(C12:D12)</f>
        <v>0</v>
      </c>
    </row>
    <row r="13" spans="1:7">
      <c r="A13" s="75" t="s">
        <v>15</v>
      </c>
      <c r="B13" s="76" t="s">
        <v>16</v>
      </c>
      <c r="C13" s="77">
        <v>163254.53</v>
      </c>
      <c r="D13" s="78">
        <v>-22840.3</v>
      </c>
      <c r="E13" s="79">
        <f t="shared" si="1"/>
        <v>140414.23000000001</v>
      </c>
    </row>
    <row r="14" spans="1:7">
      <c r="A14" s="75" t="s">
        <v>53</v>
      </c>
      <c r="B14" s="76" t="s">
        <v>54</v>
      </c>
      <c r="C14" s="77">
        <v>31645.5</v>
      </c>
      <c r="D14" s="78">
        <v>5580.94</v>
      </c>
      <c r="E14" s="79">
        <f t="shared" si="1"/>
        <v>37226.44</v>
      </c>
    </row>
    <row r="15" spans="1:7">
      <c r="A15" s="75" t="s">
        <v>184</v>
      </c>
      <c r="B15" s="76" t="s">
        <v>185</v>
      </c>
      <c r="C15" s="77">
        <v>700.98</v>
      </c>
      <c r="D15" s="78">
        <v>0</v>
      </c>
      <c r="E15" s="79">
        <f t="shared" si="1"/>
        <v>700.98</v>
      </c>
    </row>
    <row r="16" spans="1:7">
      <c r="A16" s="75" t="s">
        <v>32</v>
      </c>
      <c r="B16" s="76" t="s">
        <v>33</v>
      </c>
      <c r="C16" s="77">
        <v>8633</v>
      </c>
      <c r="D16" s="78">
        <v>0</v>
      </c>
      <c r="E16" s="79">
        <f t="shared" si="1"/>
        <v>8633</v>
      </c>
    </row>
    <row r="17" spans="1:6">
      <c r="A17" s="75" t="s">
        <v>9</v>
      </c>
      <c r="B17" s="76" t="s">
        <v>17</v>
      </c>
      <c r="C17" s="77">
        <v>1902</v>
      </c>
      <c r="D17" s="78">
        <v>0</v>
      </c>
      <c r="E17" s="79">
        <f t="shared" si="1"/>
        <v>1902</v>
      </c>
    </row>
    <row r="18" spans="1:6">
      <c r="A18" s="75" t="s">
        <v>18</v>
      </c>
      <c r="B18" s="76" t="s">
        <v>19</v>
      </c>
      <c r="C18" s="77">
        <v>613</v>
      </c>
      <c r="D18" s="78">
        <v>0</v>
      </c>
      <c r="E18" s="79">
        <f t="shared" si="1"/>
        <v>613</v>
      </c>
      <c r="F18" s="68"/>
    </row>
    <row r="19" spans="1:6">
      <c r="A19" s="75" t="s">
        <v>20</v>
      </c>
      <c r="B19" s="76" t="s">
        <v>21</v>
      </c>
      <c r="C19" s="77">
        <v>22481.63</v>
      </c>
      <c r="D19" s="78">
        <v>2173.34</v>
      </c>
      <c r="E19" s="131">
        <f t="shared" si="1"/>
        <v>24654.97</v>
      </c>
    </row>
    <row r="20" spans="1:6">
      <c r="A20" s="75" t="s">
        <v>34</v>
      </c>
      <c r="B20" s="76" t="s">
        <v>35</v>
      </c>
      <c r="C20" s="77">
        <v>3700</v>
      </c>
      <c r="D20" s="78">
        <v>0</v>
      </c>
      <c r="E20" s="79">
        <f t="shared" si="1"/>
        <v>3700</v>
      </c>
    </row>
    <row r="21" spans="1:6">
      <c r="A21" s="75" t="s">
        <v>22</v>
      </c>
      <c r="B21" s="76" t="s">
        <v>23</v>
      </c>
      <c r="C21" s="77">
        <v>102799</v>
      </c>
      <c r="D21" s="78">
        <v>9599</v>
      </c>
      <c r="E21" s="79">
        <f t="shared" si="1"/>
        <v>112398</v>
      </c>
    </row>
    <row r="22" spans="1:6">
      <c r="A22" s="75" t="s">
        <v>30</v>
      </c>
      <c r="B22" s="76" t="s">
        <v>31</v>
      </c>
      <c r="C22" s="77">
        <v>15586</v>
      </c>
      <c r="D22" s="78">
        <v>0</v>
      </c>
      <c r="E22" s="79">
        <f t="shared" si="1"/>
        <v>15586</v>
      </c>
    </row>
    <row r="23" spans="1:6">
      <c r="A23" s="75" t="s">
        <v>24</v>
      </c>
      <c r="B23" s="76" t="s">
        <v>25</v>
      </c>
      <c r="C23" s="77">
        <v>99762.9</v>
      </c>
      <c r="D23" s="78">
        <v>0</v>
      </c>
      <c r="E23" s="79">
        <f t="shared" si="1"/>
        <v>99762.9</v>
      </c>
    </row>
    <row r="24" spans="1:6">
      <c r="A24" s="75" t="s">
        <v>86</v>
      </c>
      <c r="B24" s="76" t="s">
        <v>87</v>
      </c>
      <c r="C24" s="77">
        <v>147430</v>
      </c>
      <c r="D24" s="78">
        <v>4200</v>
      </c>
      <c r="E24" s="79">
        <f t="shared" si="1"/>
        <v>151630</v>
      </c>
    </row>
    <row r="25" spans="1:6">
      <c r="A25" s="75" t="s">
        <v>122</v>
      </c>
      <c r="B25" s="76" t="s">
        <v>123</v>
      </c>
      <c r="C25" s="77">
        <v>8550</v>
      </c>
      <c r="D25" s="78">
        <v>750</v>
      </c>
      <c r="E25" s="79">
        <f t="shared" si="1"/>
        <v>9300</v>
      </c>
    </row>
    <row r="26" spans="1:6">
      <c r="A26" s="75" t="s">
        <v>188</v>
      </c>
      <c r="B26" s="76" t="s">
        <v>46</v>
      </c>
      <c r="C26" s="77">
        <v>31054</v>
      </c>
      <c r="D26" s="78">
        <v>2178</v>
      </c>
      <c r="E26" s="79">
        <f t="shared" si="1"/>
        <v>33232</v>
      </c>
    </row>
    <row r="27" spans="1:6" hidden="1">
      <c r="A27" s="75" t="s">
        <v>102</v>
      </c>
      <c r="B27" s="76" t="s">
        <v>103</v>
      </c>
      <c r="C27" s="77">
        <v>0</v>
      </c>
      <c r="D27" s="78">
        <v>0</v>
      </c>
      <c r="E27" s="79">
        <f t="shared" si="1"/>
        <v>0</v>
      </c>
    </row>
    <row r="28" spans="1:6" hidden="1">
      <c r="A28" s="75" t="s">
        <v>114</v>
      </c>
      <c r="B28" s="76" t="s">
        <v>113</v>
      </c>
      <c r="C28" s="77">
        <v>0</v>
      </c>
      <c r="D28" s="78">
        <v>0</v>
      </c>
      <c r="E28" s="79">
        <f t="shared" si="1"/>
        <v>0</v>
      </c>
    </row>
    <row r="29" spans="1:6">
      <c r="A29" s="75" t="s">
        <v>182</v>
      </c>
      <c r="B29" s="76" t="s">
        <v>183</v>
      </c>
      <c r="C29" s="77">
        <v>0</v>
      </c>
      <c r="D29" s="78">
        <v>0</v>
      </c>
      <c r="E29" s="79">
        <f t="shared" si="1"/>
        <v>0</v>
      </c>
    </row>
    <row r="30" spans="1:6">
      <c r="A30" s="75" t="s">
        <v>92</v>
      </c>
      <c r="B30" s="76" t="s">
        <v>93</v>
      </c>
      <c r="C30" s="77">
        <v>0</v>
      </c>
      <c r="D30" s="78">
        <v>0</v>
      </c>
      <c r="E30" s="79">
        <f t="shared" si="1"/>
        <v>0</v>
      </c>
    </row>
    <row r="31" spans="1:6" hidden="1">
      <c r="A31" s="75" t="s">
        <v>91</v>
      </c>
      <c r="B31" s="76" t="s">
        <v>94</v>
      </c>
      <c r="C31" s="77">
        <v>0</v>
      </c>
      <c r="D31" s="78">
        <v>0</v>
      </c>
      <c r="E31" s="79">
        <f t="shared" si="1"/>
        <v>0</v>
      </c>
    </row>
    <row r="32" spans="1:6">
      <c r="A32" s="80" t="s">
        <v>26</v>
      </c>
      <c r="B32" s="81" t="s">
        <v>27</v>
      </c>
      <c r="C32" s="82">
        <v>177695.3</v>
      </c>
      <c r="D32" s="83">
        <v>16180</v>
      </c>
      <c r="E32" s="84">
        <f t="shared" si="1"/>
        <v>193875.3</v>
      </c>
    </row>
    <row r="33" spans="1:7">
      <c r="A33" s="80" t="s">
        <v>100</v>
      </c>
      <c r="B33" s="81" t="s">
        <v>37</v>
      </c>
      <c r="C33" s="82">
        <v>200587</v>
      </c>
      <c r="D33" s="83">
        <v>30871</v>
      </c>
      <c r="E33" s="84">
        <f t="shared" si="1"/>
        <v>231458</v>
      </c>
      <c r="F33" s="93"/>
    </row>
    <row r="34" spans="1:7" ht="13.5" thickBot="1">
      <c r="A34" s="90" t="s">
        <v>191</v>
      </c>
      <c r="B34" s="91" t="s">
        <v>192</v>
      </c>
      <c r="C34" s="92">
        <v>0</v>
      </c>
      <c r="D34" s="175">
        <v>0</v>
      </c>
      <c r="E34" s="176">
        <f t="shared" si="1"/>
        <v>0</v>
      </c>
      <c r="F34" s="93"/>
    </row>
    <row r="35" spans="1:7" ht="14.25" thickTop="1" thickBot="1">
      <c r="A35" s="87"/>
      <c r="B35" s="88" t="s">
        <v>28</v>
      </c>
      <c r="C35" s="89">
        <f>SUM(C4:C10)-SUM(C12:C34)</f>
        <v>21044.139999999898</v>
      </c>
      <c r="D35" s="89">
        <f>SUM(D4:D10)-SUM(D12:D34)</f>
        <v>-68445.14</v>
      </c>
      <c r="E35" s="89">
        <f>(SUM(E4:E10))-(SUM(E12:E34))</f>
        <v>-47401</v>
      </c>
      <c r="F35" s="93"/>
      <c r="G35" s="93"/>
    </row>
    <row r="36" spans="1:7">
      <c r="C36" s="93"/>
      <c r="D36" s="93"/>
      <c r="E36" s="93"/>
    </row>
    <row r="37" spans="1:7" ht="14.25" customHeight="1" thickBot="1">
      <c r="A37" s="46" t="s">
        <v>29</v>
      </c>
      <c r="B37" s="94"/>
      <c r="C37" s="95" t="s">
        <v>2</v>
      </c>
      <c r="D37" s="95" t="s">
        <v>3</v>
      </c>
      <c r="E37" s="95"/>
    </row>
    <row r="38" spans="1:7" ht="14.25" customHeight="1" thickTop="1">
      <c r="A38" s="47" t="s">
        <v>69</v>
      </c>
      <c r="C38" s="96"/>
      <c r="D38" s="96"/>
      <c r="E38" s="97">
        <f>C35</f>
        <v>21044.139999999898</v>
      </c>
    </row>
    <row r="39" spans="1:7" ht="13.5" thickBot="1">
      <c r="A39" s="36" t="s">
        <v>75</v>
      </c>
      <c r="C39" s="93">
        <f>SUM(D4:D11)</f>
        <v>27647.84</v>
      </c>
      <c r="D39" s="93">
        <f>SUM(D12:D34)</f>
        <v>48691.979999999996</v>
      </c>
      <c r="E39" s="36">
        <f>C39-D39</f>
        <v>-21044.139999999996</v>
      </c>
    </row>
    <row r="40" spans="1:7" ht="13.5" thickBot="1">
      <c r="A40" s="98" t="s">
        <v>73</v>
      </c>
      <c r="B40" s="99"/>
      <c r="C40" s="100"/>
      <c r="D40" s="100"/>
      <c r="E40" s="101">
        <f>SUM(E38:E39)</f>
        <v>-9.822542779147625E-11</v>
      </c>
    </row>
    <row r="41" spans="1:7">
      <c r="A41" s="93"/>
      <c r="B41" s="93"/>
      <c r="C41" s="93"/>
      <c r="D41" s="93"/>
    </row>
    <row r="42" spans="1:7">
      <c r="A42" s="93"/>
      <c r="B42" s="93"/>
      <c r="C42" s="93"/>
      <c r="D42" s="93"/>
    </row>
    <row r="43" spans="1:7" ht="15.75" thickBot="1">
      <c r="A43" s="190" t="s">
        <v>266</v>
      </c>
      <c r="B43" s="190"/>
      <c r="C43" s="190"/>
      <c r="D43" s="103">
        <f>D1</f>
        <v>45291</v>
      </c>
    </row>
    <row r="44" spans="1:7" ht="13.5" thickBot="1">
      <c r="A44" s="4" t="s">
        <v>10</v>
      </c>
      <c r="B44" s="22" t="s">
        <v>0</v>
      </c>
      <c r="C44" s="23" t="s">
        <v>2</v>
      </c>
      <c r="D44" s="21" t="s">
        <v>3</v>
      </c>
    </row>
    <row r="45" spans="1:7" ht="13.5" thickTop="1">
      <c r="A45" s="104" t="s">
        <v>267</v>
      </c>
      <c r="B45" s="105" t="s">
        <v>268</v>
      </c>
      <c r="C45" s="106">
        <v>47401</v>
      </c>
      <c r="D45" s="107"/>
    </row>
    <row r="46" spans="1:7" ht="13.5" thickBot="1">
      <c r="A46" s="108" t="s">
        <v>269</v>
      </c>
      <c r="B46" s="109" t="s">
        <v>270</v>
      </c>
      <c r="C46" s="132"/>
      <c r="D46" s="110">
        <v>60379</v>
      </c>
    </row>
    <row r="47" spans="1:7" ht="14.25" thickTop="1" thickBot="1">
      <c r="A47" s="119"/>
      <c r="B47" s="120" t="s">
        <v>28</v>
      </c>
      <c r="C47" s="112">
        <f>SUM(C45:C45)</f>
        <v>47401</v>
      </c>
      <c r="D47" s="122">
        <f>SUM(D46:D46)</f>
        <v>60379</v>
      </c>
    </row>
    <row r="48" spans="1:7">
      <c r="A48" s="123"/>
      <c r="B48" s="123"/>
      <c r="D48" s="124"/>
    </row>
    <row r="49" spans="1:6" ht="13.5" thickBot="1">
      <c r="A49" s="18" t="s">
        <v>29</v>
      </c>
      <c r="B49" s="114" t="s">
        <v>2</v>
      </c>
      <c r="C49" s="115" t="s">
        <v>3</v>
      </c>
      <c r="D49" s="115"/>
    </row>
    <row r="50" spans="1:6" ht="13.5" thickTop="1">
      <c r="A50" s="2"/>
      <c r="B50" s="68">
        <f>C47</f>
        <v>47401</v>
      </c>
      <c r="C50" s="68">
        <f>D47</f>
        <v>60379</v>
      </c>
      <c r="D50" s="3">
        <f>B50-C50</f>
        <v>-12978</v>
      </c>
      <c r="F50" s="102"/>
    </row>
    <row r="51" spans="1:6">
      <c r="A51" s="2" t="s">
        <v>271</v>
      </c>
      <c r="B51" s="68"/>
      <c r="C51" s="68"/>
      <c r="D51" s="3"/>
      <c r="F51" s="102"/>
    </row>
    <row r="52" spans="1:6">
      <c r="A52" s="2"/>
      <c r="B52" s="68"/>
      <c r="C52" s="68"/>
      <c r="D52" s="3"/>
      <c r="F52" s="102"/>
    </row>
    <row r="53" spans="1:6">
      <c r="D53" s="3"/>
      <c r="F53" s="102"/>
    </row>
    <row r="54" spans="1:6">
      <c r="D54" s="67"/>
    </row>
    <row r="55" spans="1:6" ht="15.75" thickBot="1">
      <c r="A55" s="190" t="s">
        <v>81</v>
      </c>
      <c r="B55" s="190"/>
      <c r="C55" s="190"/>
      <c r="D55" s="103">
        <f>D1</f>
        <v>45291</v>
      </c>
    </row>
    <row r="56" spans="1:6" ht="13.5" thickBot="1">
      <c r="A56" s="4" t="s">
        <v>10</v>
      </c>
      <c r="B56" s="22" t="s">
        <v>0</v>
      </c>
      <c r="C56" s="23" t="s">
        <v>2</v>
      </c>
      <c r="D56" s="21" t="s">
        <v>3</v>
      </c>
    </row>
    <row r="57" spans="1:6" ht="12.75" customHeight="1" thickTop="1">
      <c r="A57" s="104" t="s">
        <v>55</v>
      </c>
      <c r="B57" s="105" t="s">
        <v>56</v>
      </c>
      <c r="C57" s="106">
        <v>753240.81</v>
      </c>
      <c r="D57" s="107"/>
    </row>
    <row r="58" spans="1:6">
      <c r="A58" s="104" t="s">
        <v>242</v>
      </c>
      <c r="B58" s="105" t="s">
        <v>243</v>
      </c>
      <c r="C58" s="106">
        <v>10330</v>
      </c>
      <c r="D58" s="107"/>
    </row>
    <row r="59" spans="1:6" ht="13.5" thickBot="1">
      <c r="A59" s="108" t="s">
        <v>57</v>
      </c>
      <c r="B59" s="109" t="s">
        <v>58</v>
      </c>
      <c r="C59" s="109"/>
      <c r="D59" s="110">
        <v>763570.81</v>
      </c>
    </row>
    <row r="60" spans="1:6" ht="14.25" thickTop="1" thickBot="1">
      <c r="A60" s="111"/>
      <c r="B60" s="88" t="s">
        <v>28</v>
      </c>
      <c r="C60" s="112">
        <f>SUM(C57:C59)</f>
        <v>763570.81</v>
      </c>
      <c r="D60" s="113">
        <f>SUM(D59)</f>
        <v>763570.81</v>
      </c>
    </row>
    <row r="61" spans="1:6" ht="12.75" customHeight="1">
      <c r="D61" s="67"/>
    </row>
    <row r="62" spans="1:6" ht="13.5" thickBot="1">
      <c r="A62" s="18" t="s">
        <v>29</v>
      </c>
      <c r="B62" s="114" t="s">
        <v>2</v>
      </c>
      <c r="C62" s="115" t="s">
        <v>3</v>
      </c>
      <c r="D62" s="115"/>
    </row>
    <row r="63" spans="1:6" ht="13.5" thickTop="1">
      <c r="A63" s="2"/>
      <c r="B63" s="68">
        <f>C60</f>
        <v>763570.81</v>
      </c>
      <c r="C63" s="68">
        <f>D60</f>
        <v>763570.81</v>
      </c>
      <c r="D63" s="3">
        <f>B63-C63</f>
        <v>0</v>
      </c>
      <c r="E63" s="102"/>
    </row>
    <row r="64" spans="1:6">
      <c r="D64" s="67"/>
    </row>
    <row r="65" spans="1:5" ht="15.75" thickBot="1">
      <c r="A65" s="190" t="s">
        <v>82</v>
      </c>
      <c r="B65" s="190"/>
      <c r="C65" s="190"/>
      <c r="D65" s="103">
        <f>D55</f>
        <v>45291</v>
      </c>
    </row>
    <row r="66" spans="1:5" ht="13.5" thickBot="1">
      <c r="A66" s="4" t="s">
        <v>10</v>
      </c>
      <c r="B66" s="22" t="s">
        <v>0</v>
      </c>
      <c r="C66" s="23" t="s">
        <v>2</v>
      </c>
      <c r="D66" s="21" t="s">
        <v>3</v>
      </c>
    </row>
    <row r="67" spans="1:5" ht="13.5" thickTop="1">
      <c r="A67" s="104" t="s">
        <v>59</v>
      </c>
      <c r="B67" s="105" t="s">
        <v>56</v>
      </c>
      <c r="C67" s="106">
        <v>349008</v>
      </c>
      <c r="D67" s="107"/>
    </row>
    <row r="68" spans="1:5">
      <c r="A68" s="104" t="s">
        <v>60</v>
      </c>
      <c r="B68" s="105" t="s">
        <v>58</v>
      </c>
      <c r="C68" s="106"/>
      <c r="D68" s="107">
        <v>248536</v>
      </c>
    </row>
    <row r="69" spans="1:5">
      <c r="A69" s="104" t="s">
        <v>180</v>
      </c>
      <c r="B69" s="105" t="s">
        <v>181</v>
      </c>
      <c r="C69" s="106"/>
      <c r="D69" s="107">
        <v>31728</v>
      </c>
    </row>
    <row r="70" spans="1:5" hidden="1">
      <c r="A70" s="104" t="s">
        <v>80</v>
      </c>
      <c r="B70" s="105" t="s">
        <v>23</v>
      </c>
      <c r="C70" s="106"/>
      <c r="D70" s="107">
        <v>0</v>
      </c>
    </row>
    <row r="71" spans="1:5">
      <c r="A71" s="104" t="s">
        <v>61</v>
      </c>
      <c r="B71" s="105" t="s">
        <v>62</v>
      </c>
      <c r="C71" s="106"/>
      <c r="D71" s="107">
        <v>50622</v>
      </c>
    </row>
    <row r="72" spans="1:5">
      <c r="A72" s="104" t="s">
        <v>63</v>
      </c>
      <c r="B72" s="105" t="s">
        <v>64</v>
      </c>
      <c r="C72" s="105"/>
      <c r="D72" s="107">
        <v>12555</v>
      </c>
    </row>
    <row r="73" spans="1:5">
      <c r="A73" s="104" t="s">
        <v>65</v>
      </c>
      <c r="B73" s="105" t="s">
        <v>66</v>
      </c>
      <c r="C73" s="105"/>
      <c r="D73" s="107">
        <v>4558</v>
      </c>
    </row>
    <row r="74" spans="1:5" ht="13.5" thickBot="1">
      <c r="A74" s="116" t="s">
        <v>67</v>
      </c>
      <c r="B74" s="117" t="s">
        <v>68</v>
      </c>
      <c r="C74" s="109"/>
      <c r="D74" s="118">
        <v>1009</v>
      </c>
    </row>
    <row r="75" spans="1:5" ht="14.25" thickTop="1" thickBot="1">
      <c r="A75" s="119"/>
      <c r="B75" s="120" t="s">
        <v>28</v>
      </c>
      <c r="C75" s="121">
        <f>SUM(C67:C74)</f>
        <v>349008</v>
      </c>
      <c r="D75" s="122">
        <f>SUM(D68:D74)</f>
        <v>349008</v>
      </c>
    </row>
    <row r="76" spans="1:5">
      <c r="A76" s="123"/>
      <c r="B76" s="123"/>
      <c r="D76" s="124"/>
    </row>
    <row r="77" spans="1:5" ht="13.5" thickBot="1">
      <c r="A77" s="18" t="s">
        <v>29</v>
      </c>
      <c r="B77" s="114" t="s">
        <v>2</v>
      </c>
      <c r="C77" s="115" t="s">
        <v>3</v>
      </c>
      <c r="D77" s="115"/>
    </row>
    <row r="78" spans="1:5" ht="13.5" thickTop="1">
      <c r="A78" s="2"/>
      <c r="B78" s="68">
        <f>C75</f>
        <v>349008</v>
      </c>
      <c r="C78" s="68">
        <f>D75</f>
        <v>349008</v>
      </c>
      <c r="D78" s="3">
        <f>B78-C78</f>
        <v>0</v>
      </c>
      <c r="E78" s="102"/>
    </row>
    <row r="79" spans="1:5">
      <c r="A79" s="123"/>
      <c r="B79" s="123"/>
      <c r="D79" s="124"/>
    </row>
    <row r="80" spans="1:5" ht="15.75" thickBot="1">
      <c r="A80" s="190" t="s">
        <v>106</v>
      </c>
      <c r="B80" s="190"/>
      <c r="C80" s="190"/>
      <c r="D80" s="103">
        <f>D55</f>
        <v>45291</v>
      </c>
    </row>
    <row r="81" spans="1:4" ht="13.5" thickBot="1">
      <c r="A81" s="4" t="s">
        <v>10</v>
      </c>
      <c r="B81" s="22" t="s">
        <v>0</v>
      </c>
      <c r="C81" s="23" t="s">
        <v>2</v>
      </c>
      <c r="D81" s="21" t="s">
        <v>3</v>
      </c>
    </row>
    <row r="82" spans="1:4" ht="13.5" thickTop="1">
      <c r="A82" s="104" t="s">
        <v>105</v>
      </c>
      <c r="B82" s="105" t="s">
        <v>56</v>
      </c>
      <c r="C82" s="106">
        <v>14682</v>
      </c>
      <c r="D82" s="107"/>
    </row>
    <row r="83" spans="1:4" hidden="1">
      <c r="A83" s="104" t="s">
        <v>161</v>
      </c>
      <c r="B83" s="105" t="s">
        <v>133</v>
      </c>
      <c r="C83" s="106"/>
      <c r="D83" s="107">
        <v>0</v>
      </c>
    </row>
    <row r="84" spans="1:4" ht="13.5" thickBot="1">
      <c r="A84" s="108" t="s">
        <v>170</v>
      </c>
      <c r="B84" s="109" t="s">
        <v>25</v>
      </c>
      <c r="C84" s="132"/>
      <c r="D84" s="110">
        <v>14682</v>
      </c>
    </row>
    <row r="85" spans="1:4" ht="14.25" thickTop="1" thickBot="1">
      <c r="A85" s="119"/>
      <c r="B85" s="120" t="s">
        <v>28</v>
      </c>
      <c r="C85" s="112">
        <f>SUM(C82:C83)</f>
        <v>14682</v>
      </c>
      <c r="D85" s="122">
        <f>SUM(D83:D84)</f>
        <v>14682</v>
      </c>
    </row>
    <row r="86" spans="1:4">
      <c r="A86" s="123"/>
      <c r="B86" s="123"/>
      <c r="D86" s="124"/>
    </row>
    <row r="87" spans="1:4" ht="13.5" thickBot="1">
      <c r="A87" s="18" t="s">
        <v>29</v>
      </c>
      <c r="B87" s="114" t="s">
        <v>2</v>
      </c>
      <c r="C87" s="115" t="s">
        <v>3</v>
      </c>
      <c r="D87" s="115"/>
    </row>
    <row r="88" spans="1:4" ht="13.5" thickTop="1">
      <c r="A88" s="2"/>
      <c r="B88" s="68">
        <f>C85</f>
        <v>14682</v>
      </c>
      <c r="C88" s="68">
        <f>D85</f>
        <v>14682</v>
      </c>
      <c r="D88" s="3">
        <f>B88-C88</f>
        <v>0</v>
      </c>
    </row>
    <row r="89" spans="1:4">
      <c r="A89" s="2"/>
      <c r="B89" s="68"/>
      <c r="C89" s="68"/>
      <c r="D89" s="3"/>
    </row>
    <row r="90" spans="1:4" ht="15.75" thickBot="1">
      <c r="A90" s="190" t="s">
        <v>155</v>
      </c>
      <c r="B90" s="190"/>
      <c r="C90" s="190"/>
      <c r="D90" s="103">
        <f>D1</f>
        <v>45291</v>
      </c>
    </row>
    <row r="91" spans="1:4" ht="13.5" thickBot="1">
      <c r="A91" s="4" t="s">
        <v>10</v>
      </c>
      <c r="B91" s="22" t="s">
        <v>0</v>
      </c>
      <c r="C91" s="23" t="s">
        <v>2</v>
      </c>
      <c r="D91" s="21" t="s">
        <v>3</v>
      </c>
    </row>
    <row r="92" spans="1:4" ht="13.5" hidden="1" thickTop="1">
      <c r="A92" s="104" t="s">
        <v>160</v>
      </c>
      <c r="B92" s="105" t="s">
        <v>162</v>
      </c>
      <c r="C92" s="106">
        <v>0</v>
      </c>
      <c r="D92" s="164"/>
    </row>
    <row r="93" spans="1:4" ht="13.5" thickTop="1">
      <c r="A93" s="104" t="s">
        <v>97</v>
      </c>
      <c r="B93" s="105" t="s">
        <v>156</v>
      </c>
      <c r="C93" s="106">
        <v>43523</v>
      </c>
      <c r="D93" s="107"/>
    </row>
    <row r="94" spans="1:4">
      <c r="A94" s="104" t="s">
        <v>157</v>
      </c>
      <c r="B94" s="105" t="s">
        <v>133</v>
      </c>
      <c r="C94" s="106"/>
      <c r="D94" s="107">
        <v>43523</v>
      </c>
    </row>
    <row r="95" spans="1:4" ht="13.5" thickBot="1">
      <c r="A95" s="111" t="s">
        <v>168</v>
      </c>
      <c r="B95" s="88" t="s">
        <v>169</v>
      </c>
      <c r="C95" s="112"/>
      <c r="D95" s="113">
        <v>0</v>
      </c>
    </row>
    <row r="96" spans="1:4" ht="13.5" thickBot="1">
      <c r="A96" s="119"/>
      <c r="B96" s="120" t="s">
        <v>28</v>
      </c>
      <c r="C96" s="112">
        <f>SUM(C92:C95)</f>
        <v>43523</v>
      </c>
      <c r="D96" s="122">
        <f>SUM(D92:D95)</f>
        <v>43523</v>
      </c>
    </row>
    <row r="97" spans="1:4">
      <c r="A97" s="123"/>
      <c r="B97" s="123"/>
      <c r="D97" s="124"/>
    </row>
    <row r="98" spans="1:4" ht="13.5" thickBot="1">
      <c r="A98" s="18" t="s">
        <v>29</v>
      </c>
      <c r="B98" s="114" t="s">
        <v>2</v>
      </c>
      <c r="C98" s="115" t="s">
        <v>3</v>
      </c>
      <c r="D98" s="115"/>
    </row>
    <row r="99" spans="1:4" ht="13.5" thickTop="1">
      <c r="A99" s="2"/>
      <c r="B99" s="68">
        <f>C96</f>
        <v>43523</v>
      </c>
      <c r="C99" s="68">
        <f>D96</f>
        <v>43523</v>
      </c>
      <c r="D99" s="3">
        <f>B99-C99</f>
        <v>0</v>
      </c>
    </row>
    <row r="102" spans="1:4" ht="15.75" thickBot="1">
      <c r="A102" s="190" t="s">
        <v>201</v>
      </c>
      <c r="B102" s="190"/>
      <c r="C102" s="190"/>
      <c r="D102" s="103">
        <f>D1</f>
        <v>45291</v>
      </c>
    </row>
    <row r="103" spans="1:4" ht="13.5" thickBot="1">
      <c r="A103" s="4" t="s">
        <v>10</v>
      </c>
      <c r="B103" s="22" t="s">
        <v>0</v>
      </c>
      <c r="C103" s="23" t="s">
        <v>2</v>
      </c>
      <c r="D103" s="21" t="s">
        <v>3</v>
      </c>
    </row>
    <row r="104" spans="1:4" ht="13.5" thickTop="1">
      <c r="A104" s="104"/>
      <c r="B104" s="105" t="s">
        <v>211</v>
      </c>
      <c r="C104" s="106">
        <v>839555</v>
      </c>
      <c r="D104" s="107"/>
    </row>
    <row r="105" spans="1:4">
      <c r="A105" s="104" t="s">
        <v>119</v>
      </c>
      <c r="B105" s="105" t="s">
        <v>120</v>
      </c>
      <c r="C105" s="106"/>
      <c r="D105" s="107">
        <v>32911.089999999997</v>
      </c>
    </row>
    <row r="106" spans="1:4">
      <c r="A106" s="104" t="s">
        <v>116</v>
      </c>
      <c r="B106" s="105" t="s">
        <v>35</v>
      </c>
      <c r="C106" s="106"/>
      <c r="D106" s="107">
        <v>22500</v>
      </c>
    </row>
    <row r="107" spans="1:4">
      <c r="A107" s="104" t="s">
        <v>145</v>
      </c>
      <c r="B107" s="105" t="s">
        <v>146</v>
      </c>
      <c r="C107" s="106"/>
      <c r="D107" s="107">
        <v>0</v>
      </c>
    </row>
    <row r="108" spans="1:4">
      <c r="A108" s="104" t="s">
        <v>124</v>
      </c>
      <c r="B108" s="105" t="s">
        <v>125</v>
      </c>
      <c r="C108" s="106"/>
      <c r="D108" s="107">
        <v>4499</v>
      </c>
    </row>
    <row r="109" spans="1:4">
      <c r="A109" s="104" t="s">
        <v>115</v>
      </c>
      <c r="B109" s="105" t="s">
        <v>62</v>
      </c>
      <c r="C109" s="106"/>
      <c r="D109" s="107">
        <v>129544</v>
      </c>
    </row>
    <row r="110" spans="1:4">
      <c r="A110" s="104" t="s">
        <v>149</v>
      </c>
      <c r="B110" s="105" t="s">
        <v>64</v>
      </c>
      <c r="C110" s="106"/>
      <c r="D110" s="107">
        <v>29399</v>
      </c>
    </row>
    <row r="111" spans="1:4">
      <c r="A111" s="104" t="s">
        <v>150</v>
      </c>
      <c r="B111" s="105" t="s">
        <v>66</v>
      </c>
      <c r="C111" s="106"/>
      <c r="D111" s="107">
        <v>10671</v>
      </c>
    </row>
    <row r="112" spans="1:4">
      <c r="A112" s="104" t="s">
        <v>231</v>
      </c>
      <c r="B112" s="105" t="s">
        <v>6</v>
      </c>
      <c r="C112" s="106"/>
      <c r="D112" s="107">
        <v>775</v>
      </c>
    </row>
    <row r="113" spans="1:4">
      <c r="A113" s="104" t="s">
        <v>153</v>
      </c>
      <c r="B113" s="105" t="s">
        <v>154</v>
      </c>
      <c r="C113" s="106"/>
      <c r="D113" s="107">
        <v>2029</v>
      </c>
    </row>
    <row r="114" spans="1:4" ht="13.5" thickBot="1">
      <c r="A114" s="108" t="s">
        <v>147</v>
      </c>
      <c r="B114" s="109" t="s">
        <v>148</v>
      </c>
      <c r="C114" s="132"/>
      <c r="D114" s="110">
        <v>2978</v>
      </c>
    </row>
    <row r="115" spans="1:4" ht="14.25" thickTop="1" thickBot="1">
      <c r="A115" s="119"/>
      <c r="B115" s="120" t="s">
        <v>28</v>
      </c>
      <c r="C115" s="112">
        <f>SUM(C104:C109)</f>
        <v>839555</v>
      </c>
      <c r="D115" s="122">
        <f>SUM(D105:D114)</f>
        <v>235306.09</v>
      </c>
    </row>
    <row r="116" spans="1:4">
      <c r="A116" s="123"/>
      <c r="B116" s="123"/>
      <c r="D116" s="124"/>
    </row>
    <row r="117" spans="1:4" ht="13.5" thickBot="1">
      <c r="A117" s="18" t="s">
        <v>29</v>
      </c>
      <c r="B117" s="114" t="s">
        <v>2</v>
      </c>
      <c r="C117" s="115" t="s">
        <v>3</v>
      </c>
      <c r="D117" s="115"/>
    </row>
    <row r="118" spans="1:4" ht="13.5" thickTop="1">
      <c r="A118" s="2"/>
      <c r="B118" s="68">
        <f>C115</f>
        <v>839555</v>
      </c>
      <c r="C118" s="68">
        <f>D115</f>
        <v>235306.09</v>
      </c>
      <c r="D118" s="3">
        <f>B118-C118</f>
        <v>604248.91</v>
      </c>
    </row>
  </sheetData>
  <mergeCells count="7">
    <mergeCell ref="A1:C1"/>
    <mergeCell ref="A90:C90"/>
    <mergeCell ref="A102:C102"/>
    <mergeCell ref="A55:C55"/>
    <mergeCell ref="A65:C65"/>
    <mergeCell ref="A80:C80"/>
    <mergeCell ref="A43:C43"/>
  </mergeCells>
  <phoneticPr fontId="1" type="noConversion"/>
  <printOptions horizontalCentered="1"/>
  <pageMargins left="0.78740157480314965" right="0.78740157480314965" top="0.16" bottom="0.27" header="0.13" footer="0.31"/>
  <pageSetup paperSize="9" orientation="portrait" horizontalDpi="4294967293" r:id="rId1"/>
  <headerFooter alignWithMargins="0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38" sqref="C38"/>
    </sheetView>
  </sheetViews>
  <sheetFormatPr defaultRowHeight="12.75"/>
  <cols>
    <col min="1" max="1" width="9.140625" style="67"/>
    <col min="2" max="2" width="26.5703125" style="67" customWidth="1"/>
    <col min="3" max="3" width="11.7109375" style="67" bestFit="1" customWidth="1"/>
    <col min="4" max="4" width="11.7109375" style="65" bestFit="1" customWidth="1"/>
    <col min="5" max="5" width="15.7109375" style="67" bestFit="1" customWidth="1"/>
    <col min="6" max="6" width="10.140625" style="67" bestFit="1" customWidth="1"/>
    <col min="7" max="16384" width="9.140625" style="67"/>
  </cols>
  <sheetData>
    <row r="1" spans="1:5" s="53" customFormat="1" ht="25.5" customHeight="1">
      <c r="A1" s="191" t="s">
        <v>83</v>
      </c>
      <c r="B1" s="191"/>
      <c r="C1" s="191"/>
      <c r="D1" s="191"/>
      <c r="E1" s="58">
        <f>'OBEC '!D1</f>
        <v>45291</v>
      </c>
    </row>
    <row r="2" spans="1:5" ht="13.5" thickBot="1"/>
    <row r="3" spans="1:5" ht="51.75" thickBot="1">
      <c r="A3" s="48" t="s">
        <v>4</v>
      </c>
      <c r="B3" s="49" t="s">
        <v>0</v>
      </c>
      <c r="C3" s="150" t="s">
        <v>202</v>
      </c>
      <c r="D3" s="150" t="s">
        <v>203</v>
      </c>
      <c r="E3" s="150" t="s">
        <v>204</v>
      </c>
    </row>
    <row r="4" spans="1:5" ht="13.5" thickTop="1">
      <c r="A4" s="138"/>
      <c r="B4" s="139" t="s">
        <v>126</v>
      </c>
      <c r="C4" s="140">
        <f>SUM(C5:C7)</f>
        <v>885000</v>
      </c>
      <c r="D4" s="140">
        <f>SUM(D5:D7)</f>
        <v>1105500</v>
      </c>
      <c r="E4" s="140">
        <f>SUM(E5:E7)</f>
        <v>1065086.8199999998</v>
      </c>
    </row>
    <row r="5" spans="1:5">
      <c r="A5" s="128" t="s">
        <v>89</v>
      </c>
      <c r="B5" s="129" t="s">
        <v>127</v>
      </c>
      <c r="C5" s="135">
        <v>620000</v>
      </c>
      <c r="D5" s="135">
        <f>620000+50000</f>
        <v>670000</v>
      </c>
      <c r="E5" s="135">
        <f>'OBEC '!E9</f>
        <v>670000</v>
      </c>
    </row>
    <row r="6" spans="1:5">
      <c r="A6" s="126" t="s">
        <v>76</v>
      </c>
      <c r="B6" s="127" t="s">
        <v>129</v>
      </c>
      <c r="C6" s="135">
        <v>40000</v>
      </c>
      <c r="D6" s="135">
        <f>40000+100000</f>
        <v>140000</v>
      </c>
      <c r="E6" s="135">
        <f>'OBEC '!E5</f>
        <v>100669.84</v>
      </c>
    </row>
    <row r="7" spans="1:5" ht="13.5" thickBot="1">
      <c r="A7" s="141" t="s">
        <v>130</v>
      </c>
      <c r="B7" s="130" t="s">
        <v>118</v>
      </c>
      <c r="C7" s="142">
        <v>225000</v>
      </c>
      <c r="D7" s="142">
        <f>225000+50000+20500</f>
        <v>295500</v>
      </c>
      <c r="E7" s="142">
        <f>'OBEC '!E4+'OBEC '!E8+'OBEC '!E7+'OBEC '!E6+'OBEC '!E10+'OBEC '!E11</f>
        <v>294416.98</v>
      </c>
    </row>
    <row r="8" spans="1:5" ht="13.5" thickTop="1">
      <c r="A8" s="125"/>
      <c r="B8" s="139" t="s">
        <v>131</v>
      </c>
      <c r="C8" s="143">
        <f>SUM(C9:C20)</f>
        <v>885000</v>
      </c>
      <c r="D8" s="143">
        <f>SUM(D9:D21)</f>
        <v>1105500</v>
      </c>
      <c r="E8" s="143">
        <f>SUM(E9:E21)</f>
        <v>1065086.82</v>
      </c>
    </row>
    <row r="9" spans="1:5">
      <c r="A9" s="126" t="s">
        <v>132</v>
      </c>
      <c r="B9" s="127" t="s">
        <v>133</v>
      </c>
      <c r="C9" s="135">
        <v>209949</v>
      </c>
      <c r="D9" s="135">
        <f>209949-60000-50000+50000+30000+50000-10000-10000</f>
        <v>209949</v>
      </c>
      <c r="E9" s="135">
        <f>'OBEC '!E12+'OBEC '!E13+'OBEC '!E14+'OBEC '!E15</f>
        <v>178341.65000000002</v>
      </c>
    </row>
    <row r="10" spans="1:5">
      <c r="A10" s="128" t="s">
        <v>134</v>
      </c>
      <c r="B10" s="129" t="s">
        <v>33</v>
      </c>
      <c r="C10" s="144">
        <v>50000</v>
      </c>
      <c r="D10" s="144">
        <f>50000-30000-10000</f>
        <v>10000</v>
      </c>
      <c r="E10" s="144">
        <f>'OBEC '!E16</f>
        <v>8633</v>
      </c>
    </row>
    <row r="11" spans="1:5">
      <c r="A11" s="128" t="s">
        <v>135</v>
      </c>
      <c r="B11" s="129" t="s">
        <v>17</v>
      </c>
      <c r="C11" s="144">
        <v>1500</v>
      </c>
      <c r="D11" s="144">
        <f>1500+2000</f>
        <v>3500</v>
      </c>
      <c r="E11" s="144">
        <f>'OBEC '!E17</f>
        <v>1902</v>
      </c>
    </row>
    <row r="12" spans="1:5">
      <c r="A12" s="128" t="s">
        <v>108</v>
      </c>
      <c r="B12" s="129" t="s">
        <v>25</v>
      </c>
      <c r="C12" s="144">
        <v>337975.7</v>
      </c>
      <c r="D12" s="144">
        <f>337975.7+50000-2000+10000+10000+50000</f>
        <v>455975.7</v>
      </c>
      <c r="E12" s="144">
        <f>'OBEC '!E18+'OBEC '!E19+'OBEC '!E20+'OBEC '!E21+'OBEC '!E22+'OBEC '!E23+'OBEC '!E24+'OBEC '!E25+'OBEC '!E26</f>
        <v>450876.87</v>
      </c>
    </row>
    <row r="13" spans="1:5">
      <c r="A13" s="128" t="s">
        <v>136</v>
      </c>
      <c r="B13" s="129" t="s">
        <v>62</v>
      </c>
      <c r="C13" s="144">
        <v>0</v>
      </c>
      <c r="D13" s="144">
        <f>0</f>
        <v>0</v>
      </c>
      <c r="E13" s="144">
        <f>'OBEC '!E27</f>
        <v>0</v>
      </c>
    </row>
    <row r="14" spans="1:5">
      <c r="A14" s="128" t="s">
        <v>114</v>
      </c>
      <c r="B14" s="129" t="s">
        <v>137</v>
      </c>
      <c r="C14" s="144">
        <v>0</v>
      </c>
      <c r="D14" s="144">
        <f>0</f>
        <v>0</v>
      </c>
      <c r="E14" s="144">
        <f>'OBEC '!E28</f>
        <v>0</v>
      </c>
    </row>
    <row r="15" spans="1:5">
      <c r="A15" s="128" t="s">
        <v>138</v>
      </c>
      <c r="B15" s="129" t="s">
        <v>139</v>
      </c>
      <c r="C15" s="144">
        <v>0</v>
      </c>
      <c r="D15" s="144">
        <f>0</f>
        <v>0</v>
      </c>
      <c r="E15" s="144">
        <v>0</v>
      </c>
    </row>
    <row r="16" spans="1:5">
      <c r="A16" s="126" t="s">
        <v>140</v>
      </c>
      <c r="B16" s="127" t="s">
        <v>141</v>
      </c>
      <c r="C16" s="135">
        <v>0</v>
      </c>
      <c r="D16" s="135">
        <f>0</f>
        <v>0</v>
      </c>
      <c r="E16" s="135">
        <f>'OBEC '!E29</f>
        <v>0</v>
      </c>
    </row>
    <row r="17" spans="1:5">
      <c r="A17" s="126" t="s">
        <v>142</v>
      </c>
      <c r="B17" s="127" t="s">
        <v>117</v>
      </c>
      <c r="C17" s="135">
        <v>0</v>
      </c>
      <c r="D17" s="135">
        <f>0</f>
        <v>0</v>
      </c>
      <c r="E17" s="135">
        <v>0</v>
      </c>
    </row>
    <row r="18" spans="1:5">
      <c r="A18" s="126" t="s">
        <v>176</v>
      </c>
      <c r="B18" s="127" t="s">
        <v>93</v>
      </c>
      <c r="C18" s="135">
        <v>0</v>
      </c>
      <c r="D18" s="135">
        <f>0</f>
        <v>0</v>
      </c>
      <c r="E18" s="135">
        <f>'OBEC '!E30</f>
        <v>0</v>
      </c>
    </row>
    <row r="19" spans="1:5">
      <c r="A19" s="128" t="s">
        <v>143</v>
      </c>
      <c r="B19" s="129" t="s">
        <v>27</v>
      </c>
      <c r="C19" s="144">
        <v>193875.3</v>
      </c>
      <c r="D19" s="144">
        <f>193875.3</f>
        <v>193875.3</v>
      </c>
      <c r="E19" s="144">
        <f>'OBEC '!E32</f>
        <v>193875.3</v>
      </c>
    </row>
    <row r="20" spans="1:5">
      <c r="A20" s="177" t="s">
        <v>100</v>
      </c>
      <c r="B20" s="178" t="s">
        <v>152</v>
      </c>
      <c r="C20" s="179">
        <v>91700</v>
      </c>
      <c r="D20" s="179">
        <f>91700+60000+50000+50000-50000+20500+10000</f>
        <v>232200</v>
      </c>
      <c r="E20" s="179">
        <f>'OBEC '!E33</f>
        <v>231458</v>
      </c>
    </row>
    <row r="21" spans="1:5" ht="13.5" thickBot="1">
      <c r="A21" s="180" t="s">
        <v>190</v>
      </c>
      <c r="B21" s="145" t="s">
        <v>193</v>
      </c>
      <c r="C21" s="181">
        <v>0</v>
      </c>
      <c r="D21" s="183">
        <f>0</f>
        <v>0</v>
      </c>
      <c r="E21" s="182">
        <f>'OBEC '!E34</f>
        <v>0</v>
      </c>
    </row>
    <row r="22" spans="1:5" ht="13.5" thickBot="1">
      <c r="A22" s="151"/>
      <c r="B22" s="152" t="s">
        <v>261</v>
      </c>
      <c r="C22" s="153"/>
      <c r="D22" s="154"/>
      <c r="E22" s="155">
        <f>E4-E8</f>
        <v>0</v>
      </c>
    </row>
  </sheetData>
  <mergeCells count="1">
    <mergeCell ref="A1:D1"/>
  </mergeCells>
  <phoneticPr fontId="1" type="noConversion"/>
  <printOptions horizontalCentered="1"/>
  <pageMargins left="0.78740157480314965" right="0.78740157480314965" top="0.47" bottom="0.65" header="0.28000000000000003" footer="0.5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8"/>
  <sheetViews>
    <sheetView tabSelected="1" workbookViewId="0">
      <selection sqref="A1:D1"/>
    </sheetView>
  </sheetViews>
  <sheetFormatPr defaultRowHeight="12.75"/>
  <cols>
    <col min="1" max="1" width="8.5703125" style="67" customWidth="1"/>
    <col min="2" max="2" width="27.5703125" style="67" bestFit="1" customWidth="1"/>
    <col min="3" max="4" width="12.7109375" style="67" bestFit="1" customWidth="1"/>
    <col min="5" max="5" width="15.7109375" style="67" bestFit="1" customWidth="1"/>
    <col min="6" max="6" width="14.140625" style="67" hidden="1" customWidth="1"/>
    <col min="7" max="16384" width="9.140625" style="67"/>
  </cols>
  <sheetData>
    <row r="1" spans="1:6" s="53" customFormat="1" ht="25.5" customHeight="1">
      <c r="A1" s="191" t="s">
        <v>172</v>
      </c>
      <c r="B1" s="191"/>
      <c r="C1" s="191"/>
      <c r="D1" s="191"/>
      <c r="E1" s="168">
        <f>'čerpání rozpočtu obce'!E1</f>
        <v>45291</v>
      </c>
    </row>
    <row r="2" spans="1:6">
      <c r="A2" s="167"/>
      <c r="B2" s="167"/>
    </row>
    <row r="3" spans="1:6" ht="13.5" thickBot="1"/>
    <row r="4" spans="1:6" ht="51.75" thickBot="1">
      <c r="A4" s="48" t="s">
        <v>4</v>
      </c>
      <c r="B4" s="49" t="s">
        <v>0</v>
      </c>
      <c r="C4" s="150" t="s">
        <v>202</v>
      </c>
      <c r="D4" s="150" t="s">
        <v>203</v>
      </c>
      <c r="E4" s="150" t="s">
        <v>204</v>
      </c>
      <c r="F4" s="150" t="s">
        <v>173</v>
      </c>
    </row>
    <row r="5" spans="1:6" ht="13.5" thickTop="1">
      <c r="A5" s="138"/>
      <c r="B5" s="139" t="s">
        <v>126</v>
      </c>
      <c r="C5" s="140">
        <f>SUM(C6:C10)</f>
        <v>12840917</v>
      </c>
      <c r="D5" s="140">
        <f>SUM(D6:D10)</f>
        <v>13912669</v>
      </c>
      <c r="E5" s="140">
        <f>SUM(E6:E10)</f>
        <v>13564425.719999999</v>
      </c>
      <c r="F5" s="140">
        <f>SUM(F6:F10)</f>
        <v>0</v>
      </c>
    </row>
    <row r="6" spans="1:6">
      <c r="A6" s="128" t="s">
        <v>89</v>
      </c>
      <c r="B6" s="129" t="s">
        <v>127</v>
      </c>
      <c r="C6" s="135">
        <f>'čerpání dílčích rozpočtů'!C6+'čerpání dílčích rozpočtů'!C33+'čerpání dílčích rozpočtů'!C58+'čerpání dílčích rozpočtů'!C82+'čerpání dílčích rozpočtů'!C107</f>
        <v>620000</v>
      </c>
      <c r="D6" s="135">
        <f>'čerpání dílčích rozpočtů'!D6+'čerpání dílčích rozpočtů'!D33+'čerpání dílčích rozpočtů'!D58+'čerpání dílčích rozpočtů'!D82+'čerpání dílčích rozpočtů'!D107</f>
        <v>670000</v>
      </c>
      <c r="E6" s="135">
        <f>'čerpání dílčích rozpočtů'!E6+'čerpání dílčích rozpočtů'!E33+'čerpání dílčích rozpočtů'!E58+'čerpání dílčích rozpočtů'!E82+'čerpání dílčích rozpočtů'!E107</f>
        <v>670000</v>
      </c>
      <c r="F6" s="135">
        <f>'čerpání dílčích rozpočtů'!F6+'čerpání dílčích rozpočtů'!F33+'čerpání dílčích rozpočtů'!F58+'čerpání dílčích rozpočtů'!F82+'čerpání dílčích rozpočtů'!F107</f>
        <v>0</v>
      </c>
    </row>
    <row r="7" spans="1:6">
      <c r="A7" s="126" t="s">
        <v>96</v>
      </c>
      <c r="B7" s="127" t="s">
        <v>171</v>
      </c>
      <c r="C7" s="135">
        <f>'čerpání dílčích rozpočtů'!C7+'čerpání dílčích rozpočtů'!C34+'čerpání dílčích rozpočtů'!C59+'čerpání dílčích rozpočtů'!C83+'čerpání dílčích rozpočtů'!C108</f>
        <v>10575000</v>
      </c>
      <c r="D7" s="135">
        <f>'čerpání dílčích rozpočtů'!D7+'čerpání dílčích rozpočtů'!D34+'čerpání dílčích rozpočtů'!D59+'čerpání dílčích rozpočtů'!D83+'čerpání dílčích rozpočtů'!D108</f>
        <v>11247252</v>
      </c>
      <c r="E7" s="135">
        <f>'čerpání dílčích rozpočtů'!E7+'čerpání dílčích rozpočtů'!E34+'čerpání dílčích rozpočtů'!E59+'čerpání dílčích rozpočtů'!E83+'čerpání dílčích rozpočtů'!E108</f>
        <v>11093249</v>
      </c>
      <c r="F7" s="135">
        <f>'čerpání dílčích rozpočtů'!F7+'čerpání dílčích rozpočtů'!F34+'čerpání dílčích rozpočtů'!F59+'čerpání dílčích rozpočtů'!F83+'čerpání dílčích rozpočtů'!F108</f>
        <v>0</v>
      </c>
    </row>
    <row r="8" spans="1:6">
      <c r="A8" s="126" t="s">
        <v>99</v>
      </c>
      <c r="B8" s="127" t="s">
        <v>128</v>
      </c>
      <c r="C8" s="135">
        <f>'čerpání dílčích rozpočtů'!C8+'čerpání dílčích rozpočtů'!C35+'čerpání dílčích rozpočtů'!C60+'čerpání dílčích rozpočtů'!C84+'čerpání dílčích rozpočtů'!C109</f>
        <v>350917</v>
      </c>
      <c r="D8" s="135">
        <f>'čerpání dílčích rozpočtů'!D8+'čerpání dílčích rozpočtů'!D35+'čerpání dílčích rozpočtů'!D60+'čerpání dílčích rozpočtů'!D84+'čerpání dílčích rozpočtů'!D109</f>
        <v>386917</v>
      </c>
      <c r="E8" s="135">
        <f>'čerpání dílčích rozpočtů'!E8+'čerpání dílčích rozpočtů'!E35+'čerpání dílčích rozpočtů'!E60+'čerpání dílčích rozpočtů'!E84+'čerpání dílčích rozpočtů'!E109</f>
        <v>289159.08999999997</v>
      </c>
      <c r="F8" s="135">
        <f>'čerpání dílčích rozpočtů'!F8+'čerpání dílčích rozpočtů'!F35+'čerpání dílčích rozpočtů'!F60+'čerpání dílčích rozpočtů'!F84+'čerpání dílčích rozpočtů'!F109</f>
        <v>0</v>
      </c>
    </row>
    <row r="9" spans="1:6">
      <c r="A9" s="126" t="s">
        <v>76</v>
      </c>
      <c r="B9" s="127" t="s">
        <v>129</v>
      </c>
      <c r="C9" s="135">
        <f>'čerpání dílčích rozpočtů'!C9+'čerpání dílčích rozpočtů'!C36+'čerpání dílčích rozpočtů'!C61+'čerpání dílčích rozpočtů'!C85+'čerpání dílčích rozpočtů'!C110</f>
        <v>40000</v>
      </c>
      <c r="D9" s="135">
        <f>'čerpání dílčích rozpočtů'!D9+'čerpání dílčích rozpočtů'!D36+'čerpání dílčích rozpočtů'!D61+'čerpání dílčích rozpočtů'!D85+'čerpání dílčích rozpočtů'!D110</f>
        <v>140000</v>
      </c>
      <c r="E9" s="135">
        <f>'čerpání dílčích rozpočtů'!E9+'čerpání dílčích rozpočtů'!E36+'čerpání dílčích rozpočtů'!E61+'čerpání dílčích rozpočtů'!E85+'čerpání dílčích rozpočtů'!E110</f>
        <v>100669.84</v>
      </c>
      <c r="F9" s="135">
        <f>'čerpání dílčích rozpočtů'!F9+'čerpání dílčích rozpočtů'!F36+'čerpání dílčích rozpočtů'!F61+'čerpání dílčích rozpočtů'!F85+'čerpání dílčích rozpočtů'!F110</f>
        <v>0</v>
      </c>
    </row>
    <row r="10" spans="1:6" ht="13.5" thickBot="1">
      <c r="A10" s="141" t="s">
        <v>130</v>
      </c>
      <c r="B10" s="130" t="s">
        <v>118</v>
      </c>
      <c r="C10" s="135">
        <f>'čerpání dílčích rozpočtů'!C10+'čerpání dílčích rozpočtů'!C37+'čerpání dílčích rozpočtů'!C62+'čerpání dílčích rozpočtů'!C86+'čerpání dílčích rozpočtů'!C111</f>
        <v>1255000</v>
      </c>
      <c r="D10" s="135">
        <f>'čerpání dílčích rozpočtů'!D10+'čerpání dílčích rozpočtů'!D37+'čerpání dílčích rozpočtů'!D62+'čerpání dílčích rozpočtů'!D86+'čerpání dílčích rozpočtů'!D111</f>
        <v>1468500</v>
      </c>
      <c r="E10" s="135">
        <f>'čerpání dílčích rozpočtů'!E10+'čerpání dílčích rozpočtů'!E37+'čerpání dílčích rozpočtů'!E62+'čerpání dílčích rozpočtů'!E86+'čerpání dílčích rozpočtů'!E111</f>
        <v>1411347.79</v>
      </c>
      <c r="F10" s="135">
        <f>'čerpání dílčích rozpočtů'!F10+'čerpání dílčích rozpočtů'!F37+'čerpání dílčích rozpočtů'!F62+'čerpání dílčích rozpočtů'!F86+'čerpání dílčích rozpočtů'!F111</f>
        <v>0</v>
      </c>
    </row>
    <row r="11" spans="1:6" ht="13.5" thickTop="1">
      <c r="A11" s="125"/>
      <c r="B11" s="139" t="s">
        <v>131</v>
      </c>
      <c r="C11" s="143">
        <f>SUM(C12:C24)</f>
        <v>12840917</v>
      </c>
      <c r="D11" s="143">
        <f>SUM(D12:D24)</f>
        <v>13912669</v>
      </c>
      <c r="E11" s="143">
        <f>SUM(E12:E24)</f>
        <v>13564425.720000001</v>
      </c>
      <c r="F11" s="143">
        <f>SUM(F12:F23)</f>
        <v>0</v>
      </c>
    </row>
    <row r="12" spans="1:6">
      <c r="A12" s="126" t="s">
        <v>132</v>
      </c>
      <c r="B12" s="127" t="s">
        <v>133</v>
      </c>
      <c r="C12" s="135">
        <f>'čerpání dílčích rozpočtů'!C12+'čerpání dílčích rozpočtů'!C39+'čerpání dílčích rozpočtů'!C64+'čerpání dílčích rozpočtů'!C88+'čerpání dílčích rozpočtů'!C113</f>
        <v>1210048</v>
      </c>
      <c r="D12" s="135">
        <f>'čerpání dílčích rozpočtů'!D12+'čerpání dílčích rozpočtů'!D39+'čerpání dílčích rozpočtů'!D64+'čerpání dílčích rozpočtů'!D88+'čerpání dílčích rozpočtů'!D113</f>
        <v>1380454</v>
      </c>
      <c r="E12" s="135">
        <f>'čerpání dílčích rozpočtů'!E12+'čerpání dílčích rozpočtů'!E39+'čerpání dílčích rozpočtů'!E64+'čerpání dílčích rozpočtů'!E88+'čerpání dílčích rozpočtů'!E113</f>
        <v>1320731.55</v>
      </c>
      <c r="F12" s="135">
        <f>'čerpání dílčích rozpočtů'!F12+'čerpání dílčích rozpočtů'!F39+'čerpání dílčích rozpočtů'!F64+'čerpání dílčích rozpočtů'!F88+'čerpání dílčích rozpočtů'!F113</f>
        <v>0</v>
      </c>
    </row>
    <row r="13" spans="1:6">
      <c r="A13" s="128" t="s">
        <v>134</v>
      </c>
      <c r="B13" s="129" t="s">
        <v>33</v>
      </c>
      <c r="C13" s="144">
        <f>'čerpání dílčích rozpočtů'!C13+'čerpání dílčích rozpočtů'!C40+'čerpání dílčích rozpočtů'!C65+'čerpání dílčích rozpočtů'!C89+'čerpání dílčích rozpočtů'!C114</f>
        <v>50000</v>
      </c>
      <c r="D13" s="144">
        <f>'čerpání dílčích rozpočtů'!D13+'čerpání dílčích rozpočtů'!D40+'čerpání dílčích rozpočtů'!D65+'čerpání dílčích rozpočtů'!D89+'čerpání dílčích rozpočtů'!D114</f>
        <v>10000</v>
      </c>
      <c r="E13" s="144">
        <f>'čerpání dílčích rozpočtů'!E13+'čerpání dílčích rozpočtů'!E40+'čerpání dílčích rozpočtů'!E65+'čerpání dílčích rozpočtů'!E89+'čerpání dílčích rozpočtů'!E114</f>
        <v>8633</v>
      </c>
      <c r="F13" s="144">
        <f>'čerpání dílčích rozpočtů'!F13+'čerpání dílčích rozpočtů'!F40+'čerpání dílčích rozpočtů'!F65+'čerpání dílčích rozpočtů'!F89+'čerpání dílčích rozpočtů'!F114</f>
        <v>0</v>
      </c>
    </row>
    <row r="14" spans="1:6">
      <c r="A14" s="128" t="s">
        <v>135</v>
      </c>
      <c r="B14" s="129" t="s">
        <v>17</v>
      </c>
      <c r="C14" s="144">
        <f>'čerpání dílčích rozpočtů'!C14+'čerpání dílčích rozpočtů'!C41+'čerpání dílčích rozpočtů'!C66+'čerpání dílčích rozpočtů'!C90+'čerpání dílčích rozpočtů'!C115</f>
        <v>2500</v>
      </c>
      <c r="D14" s="144">
        <f>'čerpání dílčích rozpočtů'!D14+'čerpání dílčích rozpočtů'!D41+'čerpání dílčích rozpočtů'!D66+'čerpání dílčích rozpočtů'!D90+'čerpání dílčích rozpočtů'!D115</f>
        <v>4500</v>
      </c>
      <c r="E14" s="144">
        <f>'čerpání dílčích rozpočtů'!E14+'čerpání dílčích rozpočtů'!E41+'čerpání dílčích rozpočtů'!E66+'čerpání dílčích rozpočtů'!E90+'čerpání dílčích rozpočtů'!E115</f>
        <v>1902</v>
      </c>
      <c r="F14" s="144">
        <f>'čerpání dílčích rozpočtů'!F14+'čerpání dílčích rozpočtů'!F41+'čerpání dílčích rozpočtů'!F66+'čerpání dílčích rozpočtů'!F90+'čerpání dílčích rozpočtů'!F115</f>
        <v>0</v>
      </c>
    </row>
    <row r="15" spans="1:6">
      <c r="A15" s="128" t="s">
        <v>108</v>
      </c>
      <c r="B15" s="129" t="s">
        <v>25</v>
      </c>
      <c r="C15" s="144">
        <f>'čerpání dílčích rozpočtů'!C15+'čerpání dílčích rozpočtů'!C42+'čerpání dílčích rozpočtů'!C67+'čerpání dílčích rozpočtů'!C91+'čerpání dílčích rozpočtů'!C116</f>
        <v>391221.7</v>
      </c>
      <c r="D15" s="144">
        <f>'čerpání dílčích rozpočtů'!D15+'čerpání dílčích rozpočtů'!D42+'čerpání dílčích rozpočtů'!D67+'čerpání dílčích rozpočtů'!D91+'čerpání dílčích rozpočtů'!D116</f>
        <v>555221.69999999995</v>
      </c>
      <c r="E15" s="144">
        <f>'čerpání dílčích rozpočtů'!E15+'čerpání dílčích rozpočtů'!E42+'čerpání dílčích rozpočtů'!E67+'čerpání dílčích rozpočtů'!E91+'čerpání dílčích rozpočtů'!E116</f>
        <v>531625.87</v>
      </c>
      <c r="F15" s="144">
        <f>'čerpání dílčích rozpočtů'!F15+'čerpání dílčích rozpočtů'!F42+'čerpání dílčích rozpočtů'!F67+'čerpání dílčích rozpočtů'!F91+'čerpání dílčích rozpočtů'!F116</f>
        <v>0</v>
      </c>
    </row>
    <row r="16" spans="1:6">
      <c r="A16" s="128" t="s">
        <v>136</v>
      </c>
      <c r="B16" s="129" t="s">
        <v>62</v>
      </c>
      <c r="C16" s="144">
        <f>'čerpání dílčích rozpočtů'!C16+'čerpání dílčích rozpočtů'!C43+'čerpání dílčích rozpočtů'!C68+'čerpání dílčích rozpočtů'!C92+'čerpání dílčích rozpočtů'!C117</f>
        <v>7878780</v>
      </c>
      <c r="D16" s="144">
        <f>'čerpání dílčích rozpočtů'!D16+'čerpání dílčích rozpočtů'!D43+'čerpání dílčích rozpočtů'!D68+'čerpání dílčích rozpočtů'!D92+'čerpání dílčích rozpočtů'!D117</f>
        <v>8353855</v>
      </c>
      <c r="E16" s="144">
        <f>'čerpání dílčích rozpočtů'!E16+'čerpání dílčích rozpočtů'!E43+'čerpání dílčích rozpočtů'!E68+'čerpání dílčích rozpočtů'!E92+'čerpání dílčích rozpočtů'!E117</f>
        <v>8206726</v>
      </c>
      <c r="F16" s="144">
        <f>'čerpání dílčích rozpočtů'!F16+'čerpání dílčích rozpočtů'!F43+'čerpání dílčích rozpočtů'!F68+'čerpání dílčích rozpočtů'!F92+'čerpání dílčích rozpočtů'!F117</f>
        <v>0</v>
      </c>
    </row>
    <row r="17" spans="1:7">
      <c r="A17" s="128" t="s">
        <v>114</v>
      </c>
      <c r="B17" s="129" t="s">
        <v>137</v>
      </c>
      <c r="C17" s="144">
        <f>'čerpání dílčích rozpočtů'!C17+'čerpání dílčích rozpočtů'!C44+'čerpání dílčích rozpočtů'!C69+'čerpání dílčích rozpočtů'!C93+'čerpání dílčích rozpočtů'!C118</f>
        <v>2639467</v>
      </c>
      <c r="D17" s="144">
        <f>'čerpání dílčích rozpočtů'!D17+'čerpání dílčích rozpočtů'!D44+'čerpání dílčích rozpočtů'!D69+'čerpání dílčích rozpočtů'!D93+'čerpání dílčích rozpočtů'!D118</f>
        <v>2779695</v>
      </c>
      <c r="E17" s="144">
        <f>'čerpání dílčích rozpočtů'!E17+'čerpání dílčích rozpočtů'!E44+'čerpání dílčích rozpočtů'!E69+'čerpání dílčích rozpočtů'!E93+'čerpání dílčích rozpočtů'!E118</f>
        <v>2756828</v>
      </c>
      <c r="F17" s="144">
        <f>'čerpání dílčích rozpočtů'!F17+'čerpání dílčích rozpočtů'!F44+'čerpání dílčích rozpočtů'!F69+'čerpání dílčích rozpočtů'!F93+'čerpání dílčích rozpočtů'!F118</f>
        <v>0</v>
      </c>
    </row>
    <row r="18" spans="1:7">
      <c r="A18" s="128" t="s">
        <v>138</v>
      </c>
      <c r="B18" s="129" t="s">
        <v>139</v>
      </c>
      <c r="C18" s="144">
        <f>'čerpání dílčích rozpočtů'!C18+'čerpání dílčích rozpočtů'!C45+'čerpání dílčích rozpočtů'!C70+'čerpání dílčích rozpočtů'!C94+'čerpání dílčích rozpočtů'!C119</f>
        <v>35000</v>
      </c>
      <c r="D18" s="144">
        <f>'čerpání dílčích rozpočtů'!D18+'čerpání dílčích rozpočtů'!D45+'čerpání dílčích rozpočtů'!D70+'čerpání dílčích rozpočtů'!D94+'čerpání dílčích rozpočtů'!D119</f>
        <v>35000</v>
      </c>
      <c r="E18" s="144">
        <f>'čerpání dílčích rozpočtů'!E18+'čerpání dílčích rozpočtů'!E45+'čerpání dílčích rozpočtů'!E70+'čerpání dílčích rozpočtů'!E94+'čerpání dílčích rozpočtů'!E119</f>
        <v>33782</v>
      </c>
      <c r="F18" s="144">
        <f>'čerpání dílčích rozpočtů'!F18+'čerpání dílčích rozpočtů'!F45+'čerpání dílčích rozpočtů'!F70+'čerpání dílčích rozpočtů'!F94+'čerpání dílčích rozpočtů'!F119</f>
        <v>0</v>
      </c>
    </row>
    <row r="19" spans="1:7">
      <c r="A19" s="126" t="s">
        <v>140</v>
      </c>
      <c r="B19" s="127" t="s">
        <v>141</v>
      </c>
      <c r="C19" s="144">
        <f>'čerpání dílčích rozpočtů'!C19+'čerpání dílčích rozpočtů'!C46+'čerpání dílčích rozpočtů'!C71+'čerpání dílčích rozpočtů'!C95+'čerpání dílčích rozpočtů'!C120</f>
        <v>155500</v>
      </c>
      <c r="D19" s="144">
        <f>'čerpání dílčích rozpočtů'!D19+'čerpání dílčích rozpočtů'!D46+'čerpání dílčích rozpočtů'!D71+'čerpání dílčích rozpočtů'!D95+'čerpání dílčích rozpočtů'!D120</f>
        <v>164843</v>
      </c>
      <c r="E19" s="144">
        <f>'čerpání dílčích rozpočtů'!E19+'čerpání dílčích rozpočtů'!E46+'čerpání dílčích rozpočtů'!E71+'čerpání dílčích rozpočtů'!E95+'čerpání dílčích rozpočtů'!E120</f>
        <v>160418</v>
      </c>
      <c r="F19" s="144">
        <f>'čerpání dílčích rozpočtů'!F19+'čerpání dílčích rozpočtů'!F46+'čerpání dílčích rozpočtů'!F71+'čerpání dílčích rozpočtů'!F95+'čerpání dílčích rozpočtů'!F120</f>
        <v>0</v>
      </c>
    </row>
    <row r="20" spans="1:7">
      <c r="A20" s="126" t="s">
        <v>142</v>
      </c>
      <c r="B20" s="127" t="s">
        <v>117</v>
      </c>
      <c r="C20" s="144">
        <f>'čerpání dílčích rozpočtů'!C20+'čerpání dílčích rozpočtů'!C47+'čerpání dílčích rozpočtů'!C72+'čerpání dílčích rozpočtů'!C96+'čerpání dílčích rozpočtů'!C121</f>
        <v>45000</v>
      </c>
      <c r="D20" s="144">
        <f>'čerpání dílčích rozpočtů'!D20+'čerpání dílčích rozpočtů'!D47+'čerpání dílčích rozpočtů'!D72+'čerpání dílčích rozpočtů'!D96+'čerpání dílčích rozpočtů'!D121</f>
        <v>97200</v>
      </c>
      <c r="E20" s="144">
        <f>'čerpání dílčích rozpočtů'!E20+'čerpání dílčích rozpočtů'!E47+'čerpání dílčích rozpočtů'!E72+'čerpání dílčích rozpočtů'!E96+'čerpání dílčích rozpočtů'!E121</f>
        <v>95468</v>
      </c>
      <c r="F20" s="144">
        <f>'čerpání dílčích rozpočtů'!F20+'čerpání dílčích rozpočtů'!F47+'čerpání dílčích rozpočtů'!F72+'čerpání dílčích rozpočtů'!F96+'čerpání dílčích rozpočtů'!F121</f>
        <v>0</v>
      </c>
    </row>
    <row r="21" spans="1:7">
      <c r="A21" s="126" t="s">
        <v>177</v>
      </c>
      <c r="B21" s="127" t="s">
        <v>93</v>
      </c>
      <c r="C21" s="144">
        <f>'čerpání dílčích rozpočtů'!C21</f>
        <v>0</v>
      </c>
      <c r="D21" s="144">
        <f>'čerpání dílčích rozpočtů'!D21</f>
        <v>0</v>
      </c>
      <c r="E21" s="144">
        <f>'čerpání dílčích rozpočtů'!E21</f>
        <v>0</v>
      </c>
      <c r="F21" s="144"/>
    </row>
    <row r="22" spans="1:7">
      <c r="A22" s="128" t="s">
        <v>143</v>
      </c>
      <c r="B22" s="129" t="s">
        <v>27</v>
      </c>
      <c r="C22" s="144">
        <f>'čerpání dílčích rozpočtů'!C22+'čerpání dílčích rozpočtů'!C48+'čerpání dílčích rozpočtů'!C73+'čerpání dílčích rozpočtů'!C97+'čerpání dílčích rozpočtů'!C122</f>
        <v>193875.3</v>
      </c>
      <c r="D22" s="144">
        <f>'čerpání dílčích rozpočtů'!D22+'čerpání dílčích rozpočtů'!D48+'čerpání dílčích rozpočtů'!D73+'čerpání dílčích rozpočtů'!D97+'čerpání dílčích rozpočtů'!D122</f>
        <v>193875.3</v>
      </c>
      <c r="E22" s="144">
        <f>'čerpání dílčích rozpočtů'!E22+'čerpání dílčích rozpočtů'!E48+'čerpání dílčích rozpočtů'!E73+'čerpání dílčích rozpočtů'!E97+'čerpání dílčích rozpočtů'!E122</f>
        <v>193875.3</v>
      </c>
      <c r="F22" s="144">
        <f>'čerpání dílčích rozpočtů'!F22+'čerpání dílčích rozpočtů'!F48+'čerpání dílčích rozpočtů'!F73+'čerpání dílčích rozpočtů'!F97+'čerpání dílčích rozpočtů'!F122</f>
        <v>0</v>
      </c>
    </row>
    <row r="23" spans="1:7" ht="13.5" thickBot="1">
      <c r="A23" s="177" t="s">
        <v>100</v>
      </c>
      <c r="B23" s="178" t="s">
        <v>152</v>
      </c>
      <c r="C23" s="179">
        <f>'čerpání dílčích rozpočtů'!C23+'čerpání dílčích rozpočtů'!C49+'čerpání dílčích rozpočtů'!C74+'čerpání dílčích rozpočtů'!C98+'čerpání dílčích rozpočtů'!C123</f>
        <v>239525</v>
      </c>
      <c r="D23" s="179">
        <f>'čerpání dílčích rozpočtů'!D23+'čerpání dílčích rozpočtů'!D49+'čerpání dílčích rozpočtů'!D74+'čerpání dílčích rozpočtů'!D98+'čerpání dílčích rozpočtů'!D123</f>
        <v>338025</v>
      </c>
      <c r="E23" s="179">
        <f>'čerpání dílčích rozpočtů'!E23+'čerpání dílčích rozpočtů'!E49+'čerpání dílčích rozpočtů'!E74+'čerpání dílčích rozpočtů'!E98+'čerpání dílčích rozpočtů'!E123</f>
        <v>254436</v>
      </c>
      <c r="F23" s="146">
        <f>'čerpání dílčích rozpočtů'!F23+'čerpání dílčích rozpočtů'!F49+'čerpání dílčích rozpočtů'!F74+'čerpání dílčích rozpočtů'!F98+'čerpání dílčích rozpočtů'!F123</f>
        <v>0</v>
      </c>
    </row>
    <row r="24" spans="1:7" ht="13.5" thickBot="1">
      <c r="A24" s="147" t="s">
        <v>190</v>
      </c>
      <c r="B24" s="145" t="s">
        <v>193</v>
      </c>
      <c r="C24" s="146">
        <f>'čerpání dílčích rozpočtů'!C24+'čerpání dílčích rozpočtů'!C50+'čerpání dílčích rozpočtů'!C75+'čerpání dílčích rozpočtů'!C99+'čerpání dílčích rozpočtů'!C124</f>
        <v>0</v>
      </c>
      <c r="D24" s="146">
        <f>'čerpání dílčích rozpočtů'!D24+'čerpání dílčích rozpočtů'!D50+'čerpání dílčích rozpočtů'!D75+'čerpání dílčích rozpočtů'!D99+'čerpání dílčích rozpočtů'!D124</f>
        <v>0</v>
      </c>
      <c r="E24" s="146">
        <f>'čerpání dílčích rozpočtů'!E24+'čerpání dílčích rozpočtů'!E50+'čerpání dílčích rozpočtů'!E75+'čerpání dílčích rozpočtů'!E99+'čerpání dílčích rozpočtů'!E124</f>
        <v>0</v>
      </c>
      <c r="F24" s="174"/>
    </row>
    <row r="26" spans="1:7" ht="24.75" customHeight="1">
      <c r="A26" s="193" t="s">
        <v>218</v>
      </c>
      <c r="B26" s="193"/>
      <c r="C26" s="193"/>
      <c r="D26" s="193"/>
      <c r="E26" s="193"/>
      <c r="F26" s="193"/>
      <c r="G26" s="193"/>
    </row>
    <row r="28" spans="1:7">
      <c r="A28" s="173" t="s">
        <v>213</v>
      </c>
    </row>
    <row r="29" spans="1:7" ht="27" customHeight="1">
      <c r="A29" s="184" t="s">
        <v>214</v>
      </c>
      <c r="B29" s="192" t="s">
        <v>215</v>
      </c>
      <c r="C29" s="192"/>
      <c r="D29" s="192"/>
      <c r="E29" s="192"/>
      <c r="F29" s="192"/>
      <c r="G29" s="192"/>
    </row>
    <row r="30" spans="1:7" ht="27" customHeight="1">
      <c r="A30" s="184" t="s">
        <v>216</v>
      </c>
      <c r="B30" s="192" t="s">
        <v>217</v>
      </c>
      <c r="C30" s="192"/>
      <c r="D30" s="192"/>
      <c r="E30" s="192"/>
      <c r="F30" s="192"/>
      <c r="G30" s="192"/>
    </row>
    <row r="32" spans="1:7">
      <c r="A32" s="173" t="s">
        <v>219</v>
      </c>
    </row>
    <row r="33" spans="1:7" ht="27" customHeight="1">
      <c r="A33" s="185" t="s">
        <v>214</v>
      </c>
      <c r="B33" s="192" t="s">
        <v>220</v>
      </c>
      <c r="C33" s="192"/>
      <c r="D33" s="192"/>
      <c r="E33" s="192"/>
      <c r="F33" s="192"/>
      <c r="G33" s="192"/>
    </row>
    <row r="34" spans="1:7" ht="27" customHeight="1">
      <c r="A34" s="185" t="s">
        <v>216</v>
      </c>
      <c r="B34" s="192" t="s">
        <v>221</v>
      </c>
      <c r="C34" s="192"/>
      <c r="D34" s="192"/>
      <c r="E34" s="192"/>
      <c r="F34" s="192"/>
      <c r="G34" s="192"/>
    </row>
    <row r="35" spans="1:7">
      <c r="A35" s="173"/>
    </row>
    <row r="36" spans="1:7">
      <c r="A36" s="173" t="s">
        <v>222</v>
      </c>
    </row>
    <row r="37" spans="1:7" ht="42" customHeight="1">
      <c r="A37" s="186" t="s">
        <v>214</v>
      </c>
      <c r="B37" s="192" t="s">
        <v>223</v>
      </c>
      <c r="C37" s="192"/>
      <c r="D37" s="192"/>
      <c r="E37" s="192"/>
      <c r="F37" s="192"/>
      <c r="G37" s="192"/>
    </row>
    <row r="38" spans="1:7" ht="42" customHeight="1">
      <c r="A38" s="186" t="s">
        <v>216</v>
      </c>
      <c r="B38" s="192" t="s">
        <v>224</v>
      </c>
      <c r="C38" s="192"/>
      <c r="D38" s="192"/>
      <c r="E38" s="192"/>
      <c r="F38" s="192"/>
      <c r="G38" s="192"/>
    </row>
    <row r="40" spans="1:7">
      <c r="A40" s="173" t="s">
        <v>225</v>
      </c>
    </row>
    <row r="41" spans="1:7" ht="42" customHeight="1">
      <c r="A41" s="186" t="s">
        <v>214</v>
      </c>
      <c r="B41" s="192" t="s">
        <v>226</v>
      </c>
      <c r="C41" s="192"/>
      <c r="D41" s="192"/>
      <c r="E41" s="192"/>
      <c r="F41" s="192"/>
      <c r="G41" s="192"/>
    </row>
    <row r="42" spans="1:7" ht="28.5" customHeight="1">
      <c r="A42" s="186" t="s">
        <v>216</v>
      </c>
      <c r="B42" s="192" t="s">
        <v>227</v>
      </c>
      <c r="C42" s="192"/>
      <c r="D42" s="192"/>
      <c r="E42" s="192"/>
      <c r="F42" s="192"/>
      <c r="G42" s="192"/>
    </row>
    <row r="43" spans="1:7" ht="28.5" customHeight="1">
      <c r="A43" s="186"/>
      <c r="B43" s="187"/>
      <c r="C43" s="187"/>
      <c r="D43" s="187"/>
      <c r="E43" s="187"/>
      <c r="F43" s="187"/>
      <c r="G43" s="187"/>
    </row>
    <row r="45" spans="1:7">
      <c r="A45" s="173" t="s">
        <v>228</v>
      </c>
    </row>
    <row r="46" spans="1:7" ht="27.75" customHeight="1">
      <c r="A46" s="186" t="s">
        <v>214</v>
      </c>
      <c r="B46" s="192" t="s">
        <v>229</v>
      </c>
      <c r="C46" s="192"/>
      <c r="D46" s="192"/>
      <c r="E46" s="192"/>
      <c r="F46" s="192"/>
      <c r="G46" s="192"/>
    </row>
    <row r="47" spans="1:7" ht="28.5" customHeight="1">
      <c r="A47" s="186" t="s">
        <v>216</v>
      </c>
      <c r="B47" s="192" t="s">
        <v>230</v>
      </c>
      <c r="C47" s="192"/>
      <c r="D47" s="192"/>
      <c r="E47" s="192"/>
      <c r="F47" s="192"/>
      <c r="G47" s="192"/>
    </row>
    <row r="49" spans="1:7">
      <c r="A49" s="173" t="s">
        <v>232</v>
      </c>
    </row>
    <row r="50" spans="1:7" ht="27.75" customHeight="1">
      <c r="A50" s="186" t="s">
        <v>214</v>
      </c>
      <c r="B50" s="192" t="s">
        <v>233</v>
      </c>
      <c r="C50" s="192"/>
      <c r="D50" s="192"/>
      <c r="E50" s="192"/>
      <c r="F50" s="192"/>
      <c r="G50" s="192"/>
    </row>
    <row r="51" spans="1:7" ht="27.75" customHeight="1">
      <c r="A51" s="186" t="s">
        <v>234</v>
      </c>
      <c r="B51" s="192" t="s">
        <v>235</v>
      </c>
      <c r="C51" s="192"/>
      <c r="D51" s="192"/>
      <c r="E51" s="192"/>
      <c r="F51" s="192"/>
      <c r="G51" s="192"/>
    </row>
    <row r="52" spans="1:7" ht="40.5" customHeight="1">
      <c r="A52" s="186" t="s">
        <v>236</v>
      </c>
      <c r="B52" s="192" t="s">
        <v>237</v>
      </c>
      <c r="C52" s="192"/>
      <c r="D52" s="192"/>
      <c r="E52" s="192"/>
      <c r="F52" s="192"/>
      <c r="G52" s="192"/>
    </row>
    <row r="54" spans="1:7">
      <c r="A54" s="173" t="s">
        <v>238</v>
      </c>
    </row>
    <row r="55" spans="1:7" ht="27.75" customHeight="1">
      <c r="A55" s="186" t="s">
        <v>214</v>
      </c>
      <c r="B55" s="192" t="s">
        <v>239</v>
      </c>
      <c r="C55" s="192"/>
      <c r="D55" s="192"/>
      <c r="E55" s="192"/>
      <c r="F55" s="192"/>
      <c r="G55" s="192"/>
    </row>
    <row r="56" spans="1:7" ht="42" customHeight="1">
      <c r="A56" s="186" t="s">
        <v>234</v>
      </c>
      <c r="B56" s="192" t="s">
        <v>240</v>
      </c>
      <c r="C56" s="192"/>
      <c r="D56" s="192"/>
      <c r="E56" s="192"/>
      <c r="F56" s="192"/>
      <c r="G56" s="192"/>
    </row>
    <row r="57" spans="1:7" ht="30" customHeight="1">
      <c r="A57" s="186" t="s">
        <v>236</v>
      </c>
      <c r="B57" s="192" t="s">
        <v>241</v>
      </c>
      <c r="C57" s="192"/>
      <c r="D57" s="192"/>
      <c r="E57" s="192"/>
      <c r="F57" s="192"/>
      <c r="G57" s="192"/>
    </row>
    <row r="59" spans="1:7">
      <c r="A59" s="173" t="s">
        <v>246</v>
      </c>
    </row>
    <row r="60" spans="1:7">
      <c r="A60" s="186" t="s">
        <v>214</v>
      </c>
      <c r="B60" s="67" t="s">
        <v>247</v>
      </c>
    </row>
    <row r="61" spans="1:7">
      <c r="B61" s="67" t="s">
        <v>248</v>
      </c>
    </row>
    <row r="62" spans="1:7">
      <c r="B62" s="67" t="s">
        <v>249</v>
      </c>
    </row>
    <row r="63" spans="1:7">
      <c r="B63" s="186" t="s">
        <v>250</v>
      </c>
    </row>
    <row r="64" spans="1:7" ht="27" customHeight="1">
      <c r="A64" s="186" t="s">
        <v>234</v>
      </c>
      <c r="B64" s="192" t="s">
        <v>251</v>
      </c>
      <c r="C64" s="192"/>
      <c r="D64" s="192"/>
      <c r="E64" s="192"/>
      <c r="F64" s="192"/>
      <c r="G64" s="192"/>
    </row>
    <row r="65" spans="1:7" ht="30" customHeight="1">
      <c r="A65" s="186" t="s">
        <v>236</v>
      </c>
      <c r="B65" s="192" t="s">
        <v>252</v>
      </c>
      <c r="C65" s="192"/>
      <c r="D65" s="192"/>
      <c r="E65" s="192"/>
      <c r="F65" s="192"/>
      <c r="G65" s="192"/>
    </row>
    <row r="66" spans="1:7" ht="40.5" customHeight="1">
      <c r="A66" s="186" t="s">
        <v>253</v>
      </c>
      <c r="B66" s="192" t="s">
        <v>254</v>
      </c>
      <c r="C66" s="192"/>
      <c r="D66" s="192"/>
      <c r="E66" s="192"/>
      <c r="F66" s="192"/>
      <c r="G66" s="192"/>
    </row>
    <row r="67" spans="1:7">
      <c r="A67" s="186" t="s">
        <v>255</v>
      </c>
      <c r="B67" s="67" t="s">
        <v>256</v>
      </c>
    </row>
    <row r="68" spans="1:7">
      <c r="B68" s="67" t="s">
        <v>257</v>
      </c>
    </row>
    <row r="69" spans="1:7">
      <c r="B69" s="67" t="s">
        <v>258</v>
      </c>
    </row>
    <row r="71" spans="1:7">
      <c r="A71" s="173" t="s">
        <v>272</v>
      </c>
    </row>
    <row r="72" spans="1:7">
      <c r="A72" s="186" t="s">
        <v>214</v>
      </c>
      <c r="B72" s="67" t="s">
        <v>273</v>
      </c>
    </row>
    <row r="73" spans="1:7">
      <c r="B73" s="67" t="s">
        <v>274</v>
      </c>
    </row>
    <row r="74" spans="1:7">
      <c r="B74" s="67" t="s">
        <v>275</v>
      </c>
    </row>
    <row r="75" spans="1:7">
      <c r="B75" s="67" t="s">
        <v>276</v>
      </c>
    </row>
    <row r="76" spans="1:7">
      <c r="B76" s="67" t="s">
        <v>277</v>
      </c>
    </row>
    <row r="77" spans="1:7" ht="27" customHeight="1">
      <c r="A77" s="186" t="s">
        <v>234</v>
      </c>
      <c r="B77" s="192" t="s">
        <v>278</v>
      </c>
      <c r="C77" s="192"/>
      <c r="D77" s="192"/>
      <c r="E77" s="192"/>
      <c r="F77" s="192"/>
      <c r="G77" s="192"/>
    </row>
    <row r="78" spans="1:7">
      <c r="B78" s="123" t="s">
        <v>279</v>
      </c>
    </row>
  </sheetData>
  <mergeCells count="22">
    <mergeCell ref="B77:G77"/>
    <mergeCell ref="B42:G42"/>
    <mergeCell ref="A1:D1"/>
    <mergeCell ref="B29:G29"/>
    <mergeCell ref="B30:G30"/>
    <mergeCell ref="A26:G26"/>
    <mergeCell ref="B33:G33"/>
    <mergeCell ref="B34:G34"/>
    <mergeCell ref="B37:G37"/>
    <mergeCell ref="B38:G38"/>
    <mergeCell ref="B41:G41"/>
    <mergeCell ref="B46:G46"/>
    <mergeCell ref="B47:G47"/>
    <mergeCell ref="B64:G64"/>
    <mergeCell ref="B65:G65"/>
    <mergeCell ref="B66:G66"/>
    <mergeCell ref="B55:G55"/>
    <mergeCell ref="B56:G56"/>
    <mergeCell ref="B57:G57"/>
    <mergeCell ref="B50:G50"/>
    <mergeCell ref="B51:G51"/>
    <mergeCell ref="B52:G52"/>
  </mergeCells>
  <pageMargins left="0.7" right="0.7" top="0.56000000000000005" bottom="0.4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3"/>
  <sheetViews>
    <sheetView topLeftCell="A61" workbookViewId="0">
      <selection activeCell="D118" sqref="D118"/>
    </sheetView>
  </sheetViews>
  <sheetFormatPr defaultRowHeight="12.75"/>
  <cols>
    <col min="1" max="1" width="8.5703125" style="67" customWidth="1"/>
    <col min="2" max="2" width="27.5703125" style="67" bestFit="1" customWidth="1"/>
    <col min="3" max="4" width="12.7109375" style="67" bestFit="1" customWidth="1"/>
    <col min="5" max="5" width="14.42578125" style="67" customWidth="1"/>
    <col min="6" max="6" width="11.7109375" style="67" hidden="1" customWidth="1"/>
    <col min="7" max="16384" width="9.140625" style="67"/>
  </cols>
  <sheetData>
    <row r="1" spans="1:6" s="53" customFormat="1" ht="25.5" customHeight="1">
      <c r="A1" s="191" t="s">
        <v>205</v>
      </c>
      <c r="B1" s="191"/>
      <c r="C1" s="191"/>
      <c r="D1" s="191"/>
      <c r="E1" s="191"/>
      <c r="F1" s="191"/>
    </row>
    <row r="2" spans="1:6">
      <c r="A2" s="167"/>
      <c r="B2" s="167"/>
    </row>
    <row r="3" spans="1:6" ht="13.5" thickBot="1"/>
    <row r="4" spans="1:6" ht="51.75" thickBot="1">
      <c r="A4" s="48" t="s">
        <v>4</v>
      </c>
      <c r="B4" s="49" t="s">
        <v>0</v>
      </c>
      <c r="C4" s="150" t="s">
        <v>202</v>
      </c>
      <c r="D4" s="150" t="s">
        <v>203</v>
      </c>
      <c r="E4" s="150" t="s">
        <v>204</v>
      </c>
      <c r="F4" s="150" t="s">
        <v>173</v>
      </c>
    </row>
    <row r="5" spans="1:6" ht="13.5" thickTop="1">
      <c r="A5" s="138"/>
      <c r="B5" s="139" t="s">
        <v>126</v>
      </c>
      <c r="C5" s="140">
        <f>SUM(C6:C10)</f>
        <v>885000</v>
      </c>
      <c r="D5" s="140">
        <f>SUM(D6:D10)</f>
        <v>1105500</v>
      </c>
      <c r="E5" s="140">
        <f>SUM(E6:E10)</f>
        <v>1065086.8199999998</v>
      </c>
      <c r="F5" s="140">
        <f>SUM(F6:F10)</f>
        <v>0</v>
      </c>
    </row>
    <row r="6" spans="1:6">
      <c r="A6" s="128" t="s">
        <v>89</v>
      </c>
      <c r="B6" s="129" t="s">
        <v>127</v>
      </c>
      <c r="C6" s="135">
        <f>'čerpání rozpočtu obce'!C5</f>
        <v>620000</v>
      </c>
      <c r="D6" s="135">
        <f>'čerpání rozpočtu obce'!D5</f>
        <v>670000</v>
      </c>
      <c r="E6" s="135">
        <f>'čerpání rozpočtu obce'!E5</f>
        <v>670000</v>
      </c>
      <c r="F6" s="135">
        <v>0</v>
      </c>
    </row>
    <row r="7" spans="1:6">
      <c r="A7" s="126" t="s">
        <v>96</v>
      </c>
      <c r="B7" s="127" t="s">
        <v>171</v>
      </c>
      <c r="C7" s="135">
        <v>0</v>
      </c>
      <c r="D7" s="135">
        <v>0</v>
      </c>
      <c r="E7" s="135">
        <v>0</v>
      </c>
      <c r="F7" s="135">
        <v>0</v>
      </c>
    </row>
    <row r="8" spans="1:6">
      <c r="A8" s="126" t="s">
        <v>99</v>
      </c>
      <c r="B8" s="127" t="s">
        <v>128</v>
      </c>
      <c r="C8" s="135">
        <v>0</v>
      </c>
      <c r="D8" s="135">
        <v>0</v>
      </c>
      <c r="E8" s="135">
        <v>0</v>
      </c>
      <c r="F8" s="135">
        <v>0</v>
      </c>
    </row>
    <row r="9" spans="1:6">
      <c r="A9" s="126" t="s">
        <v>76</v>
      </c>
      <c r="B9" s="127" t="s">
        <v>129</v>
      </c>
      <c r="C9" s="135">
        <f>'čerpání rozpočtu obce'!C6</f>
        <v>40000</v>
      </c>
      <c r="D9" s="135">
        <f>'čerpání rozpočtu obce'!D6</f>
        <v>140000</v>
      </c>
      <c r="E9" s="135">
        <f>'čerpání rozpočtu obce'!E6</f>
        <v>100669.84</v>
      </c>
      <c r="F9" s="135">
        <v>0</v>
      </c>
    </row>
    <row r="10" spans="1:6" ht="13.5" thickBot="1">
      <c r="A10" s="141" t="s">
        <v>130</v>
      </c>
      <c r="B10" s="130" t="s">
        <v>118</v>
      </c>
      <c r="C10" s="142">
        <f>'čerpání rozpočtu obce'!C7</f>
        <v>225000</v>
      </c>
      <c r="D10" s="142">
        <f>'čerpání rozpočtu obce'!D7</f>
        <v>295500</v>
      </c>
      <c r="E10" s="142">
        <f>'čerpání rozpočtu obce'!E7</f>
        <v>294416.98</v>
      </c>
      <c r="F10" s="142">
        <v>0</v>
      </c>
    </row>
    <row r="11" spans="1:6" ht="13.5" thickTop="1">
      <c r="A11" s="125"/>
      <c r="B11" s="139" t="s">
        <v>131</v>
      </c>
      <c r="C11" s="143">
        <f>SUM(C12:C24)</f>
        <v>885000</v>
      </c>
      <c r="D11" s="143">
        <f>SUM(D12:D24)</f>
        <v>1105500</v>
      </c>
      <c r="E11" s="143">
        <f>SUM(E12:E24)</f>
        <v>1065086.82</v>
      </c>
      <c r="F11" s="143">
        <f>SUM(F12:F23)</f>
        <v>0</v>
      </c>
    </row>
    <row r="12" spans="1:6">
      <c r="A12" s="126" t="s">
        <v>132</v>
      </c>
      <c r="B12" s="127" t="s">
        <v>133</v>
      </c>
      <c r="C12" s="135">
        <f>'čerpání rozpočtu obce'!C9</f>
        <v>209949</v>
      </c>
      <c r="D12" s="135">
        <f>'čerpání rozpočtu obce'!D9</f>
        <v>209949</v>
      </c>
      <c r="E12" s="135">
        <f>'čerpání rozpočtu obce'!E9</f>
        <v>178341.65000000002</v>
      </c>
      <c r="F12" s="135">
        <v>0</v>
      </c>
    </row>
    <row r="13" spans="1:6">
      <c r="A13" s="128" t="s">
        <v>134</v>
      </c>
      <c r="B13" s="129" t="s">
        <v>33</v>
      </c>
      <c r="C13" s="144">
        <f>'čerpání rozpočtu obce'!C10</f>
        <v>50000</v>
      </c>
      <c r="D13" s="144">
        <f>'čerpání rozpočtu obce'!D10</f>
        <v>10000</v>
      </c>
      <c r="E13" s="144">
        <f>'čerpání rozpočtu obce'!E10</f>
        <v>8633</v>
      </c>
      <c r="F13" s="144">
        <v>0</v>
      </c>
    </row>
    <row r="14" spans="1:6">
      <c r="A14" s="128" t="s">
        <v>135</v>
      </c>
      <c r="B14" s="129" t="s">
        <v>17</v>
      </c>
      <c r="C14" s="144">
        <f>'čerpání rozpočtu obce'!C11</f>
        <v>1500</v>
      </c>
      <c r="D14" s="144">
        <f>'čerpání rozpočtu obce'!D11</f>
        <v>3500</v>
      </c>
      <c r="E14" s="144">
        <f>'čerpání rozpočtu obce'!E11</f>
        <v>1902</v>
      </c>
      <c r="F14" s="144">
        <v>0</v>
      </c>
    </row>
    <row r="15" spans="1:6">
      <c r="A15" s="128" t="s">
        <v>108</v>
      </c>
      <c r="B15" s="129" t="s">
        <v>25</v>
      </c>
      <c r="C15" s="144">
        <f>'čerpání rozpočtu obce'!C12</f>
        <v>337975.7</v>
      </c>
      <c r="D15" s="144">
        <f>'čerpání rozpočtu obce'!D12</f>
        <v>455975.7</v>
      </c>
      <c r="E15" s="144">
        <f>'čerpání rozpočtu obce'!E12</f>
        <v>450876.87</v>
      </c>
      <c r="F15" s="144">
        <v>0</v>
      </c>
    </row>
    <row r="16" spans="1:6">
      <c r="A16" s="128" t="s">
        <v>136</v>
      </c>
      <c r="B16" s="129" t="s">
        <v>62</v>
      </c>
      <c r="C16" s="144">
        <f>'čerpání rozpočtu obce'!C13</f>
        <v>0</v>
      </c>
      <c r="D16" s="144">
        <f>'čerpání rozpočtu obce'!D13</f>
        <v>0</v>
      </c>
      <c r="E16" s="144">
        <f>'čerpání rozpočtu obce'!E13</f>
        <v>0</v>
      </c>
      <c r="F16" s="144">
        <v>0</v>
      </c>
    </row>
    <row r="17" spans="1:6">
      <c r="A17" s="128" t="s">
        <v>114</v>
      </c>
      <c r="B17" s="129" t="s">
        <v>137</v>
      </c>
      <c r="C17" s="144">
        <f>'čerpání rozpočtu obce'!C14</f>
        <v>0</v>
      </c>
      <c r="D17" s="144">
        <f>'čerpání rozpočtu obce'!D14</f>
        <v>0</v>
      </c>
      <c r="E17" s="144">
        <f>'čerpání rozpočtu obce'!E14</f>
        <v>0</v>
      </c>
      <c r="F17" s="144">
        <v>0</v>
      </c>
    </row>
    <row r="18" spans="1:6">
      <c r="A18" s="128" t="s">
        <v>138</v>
      </c>
      <c r="B18" s="129" t="s">
        <v>139</v>
      </c>
      <c r="C18" s="144">
        <f>'čerpání rozpočtu obce'!C15</f>
        <v>0</v>
      </c>
      <c r="D18" s="144">
        <f>'čerpání rozpočtu obce'!D15</f>
        <v>0</v>
      </c>
      <c r="E18" s="144">
        <f>'čerpání rozpočtu obce'!E15</f>
        <v>0</v>
      </c>
      <c r="F18" s="144">
        <v>0</v>
      </c>
    </row>
    <row r="19" spans="1:6">
      <c r="A19" s="126" t="s">
        <v>140</v>
      </c>
      <c r="B19" s="127" t="s">
        <v>141</v>
      </c>
      <c r="C19" s="135">
        <f>'čerpání rozpočtu obce'!C16</f>
        <v>0</v>
      </c>
      <c r="D19" s="135">
        <f>'čerpání rozpočtu obce'!D16</f>
        <v>0</v>
      </c>
      <c r="E19" s="135">
        <f>'čerpání rozpočtu obce'!E16</f>
        <v>0</v>
      </c>
      <c r="F19" s="135">
        <v>0</v>
      </c>
    </row>
    <row r="20" spans="1:6">
      <c r="A20" s="126" t="s">
        <v>142</v>
      </c>
      <c r="B20" s="127" t="s">
        <v>117</v>
      </c>
      <c r="C20" s="135">
        <f>'čerpání rozpočtu obce'!C17</f>
        <v>0</v>
      </c>
      <c r="D20" s="135">
        <f>'čerpání rozpočtu obce'!D17</f>
        <v>0</v>
      </c>
      <c r="E20" s="135">
        <f>'čerpání rozpočtu obce'!E17</f>
        <v>0</v>
      </c>
      <c r="F20" s="135">
        <v>0</v>
      </c>
    </row>
    <row r="21" spans="1:6">
      <c r="A21" s="126" t="s">
        <v>176</v>
      </c>
      <c r="B21" s="127" t="s">
        <v>93</v>
      </c>
      <c r="C21" s="135">
        <f>'čerpání rozpočtu obce'!C18</f>
        <v>0</v>
      </c>
      <c r="D21" s="135">
        <f>'čerpání rozpočtu obce'!D18</f>
        <v>0</v>
      </c>
      <c r="E21" s="135">
        <f>'čerpání rozpočtu obce'!E18</f>
        <v>0</v>
      </c>
      <c r="F21" s="135"/>
    </row>
    <row r="22" spans="1:6">
      <c r="A22" s="128" t="s">
        <v>143</v>
      </c>
      <c r="B22" s="129" t="s">
        <v>27</v>
      </c>
      <c r="C22" s="144">
        <f>'čerpání rozpočtu obce'!C19</f>
        <v>193875.3</v>
      </c>
      <c r="D22" s="144">
        <f>'čerpání rozpočtu obce'!D19</f>
        <v>193875.3</v>
      </c>
      <c r="E22" s="144">
        <f>'čerpání rozpočtu obce'!E19</f>
        <v>193875.3</v>
      </c>
      <c r="F22" s="144">
        <v>0</v>
      </c>
    </row>
    <row r="23" spans="1:6" ht="13.5" thickBot="1">
      <c r="A23" s="177" t="s">
        <v>100</v>
      </c>
      <c r="B23" s="178" t="s">
        <v>152</v>
      </c>
      <c r="C23" s="179">
        <f>'čerpání rozpočtu obce'!C20</f>
        <v>91700</v>
      </c>
      <c r="D23" s="179">
        <f>'čerpání rozpočtu obce'!D20</f>
        <v>232200</v>
      </c>
      <c r="E23" s="179">
        <f>'čerpání rozpočtu obce'!E20</f>
        <v>231458</v>
      </c>
      <c r="F23" s="146">
        <v>0</v>
      </c>
    </row>
    <row r="24" spans="1:6" ht="13.5" thickBot="1">
      <c r="A24" s="147" t="s">
        <v>190</v>
      </c>
      <c r="B24" s="145" t="s">
        <v>193</v>
      </c>
      <c r="C24" s="146">
        <f>'čerpání rozpočtu obce'!C21</f>
        <v>0</v>
      </c>
      <c r="D24" s="146">
        <f>'čerpání rozpočtu obce'!D21</f>
        <v>0</v>
      </c>
      <c r="E24" s="146">
        <f>'čerpání rozpočtu obce'!E21</f>
        <v>0</v>
      </c>
      <c r="F24" s="174"/>
    </row>
    <row r="28" spans="1:6" s="53" customFormat="1" ht="25.5" customHeight="1">
      <c r="A28" s="191" t="s">
        <v>206</v>
      </c>
      <c r="B28" s="191"/>
      <c r="C28" s="191"/>
      <c r="D28" s="191"/>
      <c r="E28" s="191"/>
      <c r="F28" s="191"/>
    </row>
    <row r="29" spans="1:6">
      <c r="A29" s="167"/>
      <c r="B29" s="167"/>
    </row>
    <row r="30" spans="1:6" ht="13.5" thickBot="1"/>
    <row r="31" spans="1:6" ht="51.75" thickBot="1">
      <c r="A31" s="48" t="s">
        <v>4</v>
      </c>
      <c r="B31" s="49" t="s">
        <v>0</v>
      </c>
      <c r="C31" s="150" t="s">
        <v>202</v>
      </c>
      <c r="D31" s="150" t="s">
        <v>203</v>
      </c>
      <c r="E31" s="150" t="s">
        <v>204</v>
      </c>
      <c r="F31" s="150" t="s">
        <v>173</v>
      </c>
    </row>
    <row r="32" spans="1:6" ht="13.5" thickTop="1">
      <c r="A32" s="138"/>
      <c r="B32" s="139" t="s">
        <v>126</v>
      </c>
      <c r="C32" s="140">
        <f>SUM(C33:C37)</f>
        <v>10575000</v>
      </c>
      <c r="D32" s="140">
        <f>SUM(D33:D37)</f>
        <v>11247252</v>
      </c>
      <c r="E32" s="140">
        <f>SUM(E33:E37)</f>
        <v>11093249</v>
      </c>
      <c r="F32" s="140">
        <f>SUM(F33:F37)</f>
        <v>0</v>
      </c>
    </row>
    <row r="33" spans="1:6">
      <c r="A33" s="128" t="s">
        <v>89</v>
      </c>
      <c r="B33" s="129" t="s">
        <v>127</v>
      </c>
      <c r="C33" s="135">
        <v>0</v>
      </c>
      <c r="D33" s="135">
        <v>0</v>
      </c>
      <c r="E33" s="135">
        <v>0</v>
      </c>
      <c r="F33" s="135">
        <v>0</v>
      </c>
    </row>
    <row r="34" spans="1:6">
      <c r="A34" s="126" t="s">
        <v>96</v>
      </c>
      <c r="B34" s="127" t="s">
        <v>171</v>
      </c>
      <c r="C34" s="135">
        <v>10575000</v>
      </c>
      <c r="D34" s="135">
        <f>10575000+638332+33920</f>
        <v>11247252</v>
      </c>
      <c r="E34" s="135">
        <f>ONIV!D6</f>
        <v>11093249</v>
      </c>
      <c r="F34" s="135">
        <v>0</v>
      </c>
    </row>
    <row r="35" spans="1:6">
      <c r="A35" s="126" t="s">
        <v>99</v>
      </c>
      <c r="B35" s="127" t="s">
        <v>128</v>
      </c>
      <c r="C35" s="135">
        <v>0</v>
      </c>
      <c r="D35" s="135">
        <v>0</v>
      </c>
      <c r="E35" s="135">
        <v>0</v>
      </c>
      <c r="F35" s="135">
        <v>0</v>
      </c>
    </row>
    <row r="36" spans="1:6">
      <c r="A36" s="126" t="s">
        <v>76</v>
      </c>
      <c r="B36" s="127" t="s">
        <v>129</v>
      </c>
      <c r="C36" s="135">
        <v>0</v>
      </c>
      <c r="D36" s="135">
        <v>0</v>
      </c>
      <c r="E36" s="135">
        <v>0</v>
      </c>
      <c r="F36" s="135">
        <v>0</v>
      </c>
    </row>
    <row r="37" spans="1:6" ht="13.5" thickBot="1">
      <c r="A37" s="141" t="s">
        <v>130</v>
      </c>
      <c r="B37" s="130" t="s">
        <v>118</v>
      </c>
      <c r="C37" s="142">
        <v>0</v>
      </c>
      <c r="D37" s="142">
        <v>0</v>
      </c>
      <c r="E37" s="142">
        <v>0</v>
      </c>
      <c r="F37" s="142">
        <v>0</v>
      </c>
    </row>
    <row r="38" spans="1:6" ht="13.5" thickTop="1">
      <c r="A38" s="125"/>
      <c r="B38" s="139" t="s">
        <v>131</v>
      </c>
      <c r="C38" s="143">
        <f>SUM(C39:C49)</f>
        <v>10575000</v>
      </c>
      <c r="D38" s="143">
        <f>SUM(D39:D49)</f>
        <v>11247252</v>
      </c>
      <c r="E38" s="143">
        <f>SUM(E39:E49)</f>
        <v>11093249</v>
      </c>
      <c r="F38" s="143">
        <f>SUM(F39:F49)</f>
        <v>0</v>
      </c>
    </row>
    <row r="39" spans="1:6">
      <c r="A39" s="126" t="s">
        <v>132</v>
      </c>
      <c r="B39" s="127" t="s">
        <v>133</v>
      </c>
      <c r="C39" s="135">
        <v>41000</v>
      </c>
      <c r="D39" s="135">
        <f>41000-14514-10000+13920</f>
        <v>30406</v>
      </c>
      <c r="E39" s="135">
        <f>ONIV!E14+ONIV!E15</f>
        <v>22121</v>
      </c>
      <c r="F39" s="135">
        <v>0</v>
      </c>
    </row>
    <row r="40" spans="1:6">
      <c r="A40" s="128" t="s">
        <v>134</v>
      </c>
      <c r="B40" s="129" t="s">
        <v>33</v>
      </c>
      <c r="C40" s="144">
        <v>0</v>
      </c>
      <c r="D40" s="144">
        <v>0</v>
      </c>
      <c r="E40" s="144">
        <v>0</v>
      </c>
      <c r="F40" s="144">
        <v>0</v>
      </c>
    </row>
    <row r="41" spans="1:6">
      <c r="A41" s="128" t="s">
        <v>135</v>
      </c>
      <c r="B41" s="129" t="s">
        <v>17</v>
      </c>
      <c r="C41" s="144">
        <v>1000</v>
      </c>
      <c r="D41" s="144">
        <f>1000</f>
        <v>1000</v>
      </c>
      <c r="E41" s="144">
        <f>ONIV!E16</f>
        <v>0</v>
      </c>
      <c r="F41" s="144">
        <v>0</v>
      </c>
    </row>
    <row r="42" spans="1:6">
      <c r="A42" s="128" t="s">
        <v>108</v>
      </c>
      <c r="B42" s="129" t="s">
        <v>25</v>
      </c>
      <c r="C42" s="144">
        <v>9000</v>
      </c>
      <c r="D42" s="144">
        <f>9000+10000+8000+10000+10000</f>
        <v>47000</v>
      </c>
      <c r="E42" s="144">
        <f>ONIV!E17+ONIV!E18+ONIV!E19</f>
        <v>39068</v>
      </c>
      <c r="F42" s="144">
        <v>0</v>
      </c>
    </row>
    <row r="43" spans="1:6">
      <c r="A43" s="128" t="s">
        <v>136</v>
      </c>
      <c r="B43" s="129" t="s">
        <v>62</v>
      </c>
      <c r="C43" s="144">
        <v>7700000</v>
      </c>
      <c r="D43" s="144">
        <f>7700000+472275+20000-10000-10000-35000</f>
        <v>8137275</v>
      </c>
      <c r="E43" s="144">
        <f>ONIV!E7+ONIV!E9+ONIV!E8</f>
        <v>8026560</v>
      </c>
      <c r="F43" s="144">
        <v>0</v>
      </c>
    </row>
    <row r="44" spans="1:6">
      <c r="A44" s="128" t="s">
        <v>114</v>
      </c>
      <c r="B44" s="129" t="s">
        <v>137</v>
      </c>
      <c r="C44" s="144">
        <v>2590000</v>
      </c>
      <c r="D44" s="144">
        <f>2590000+172228-8000-15000-25000</f>
        <v>2714228</v>
      </c>
      <c r="E44" s="144">
        <f>ONIV!E10+ONIV!E11</f>
        <v>2699645</v>
      </c>
      <c r="F44" s="144">
        <v>0</v>
      </c>
    </row>
    <row r="45" spans="1:6">
      <c r="A45" s="128" t="s">
        <v>138</v>
      </c>
      <c r="B45" s="129" t="s">
        <v>139</v>
      </c>
      <c r="C45" s="144">
        <v>35000</v>
      </c>
      <c r="D45" s="144">
        <f>35000</f>
        <v>35000</v>
      </c>
      <c r="E45" s="144">
        <f>ONIV!E20</f>
        <v>33782</v>
      </c>
      <c r="F45" s="144">
        <v>0</v>
      </c>
    </row>
    <row r="46" spans="1:6">
      <c r="A46" s="126" t="s">
        <v>140</v>
      </c>
      <c r="B46" s="127" t="s">
        <v>141</v>
      </c>
      <c r="C46" s="135">
        <v>154000</v>
      </c>
      <c r="D46" s="135">
        <f>154000+8343</f>
        <v>162343</v>
      </c>
      <c r="E46" s="135">
        <f>ONIV!E12</f>
        <v>158634</v>
      </c>
      <c r="F46" s="135">
        <v>0</v>
      </c>
    </row>
    <row r="47" spans="1:6">
      <c r="A47" s="126" t="s">
        <v>142</v>
      </c>
      <c r="B47" s="127" t="s">
        <v>117</v>
      </c>
      <c r="C47" s="135">
        <v>45000</v>
      </c>
      <c r="D47" s="135">
        <f>45000+15000+35000</f>
        <v>95000</v>
      </c>
      <c r="E47" s="135">
        <f>ONIV!E21</f>
        <v>93439</v>
      </c>
      <c r="F47" s="135">
        <v>0</v>
      </c>
    </row>
    <row r="48" spans="1:6">
      <c r="A48" s="128" t="s">
        <v>143</v>
      </c>
      <c r="B48" s="129" t="s">
        <v>27</v>
      </c>
      <c r="C48" s="144">
        <v>0</v>
      </c>
      <c r="D48" s="144">
        <f>0</f>
        <v>0</v>
      </c>
      <c r="E48" s="144">
        <v>0</v>
      </c>
      <c r="F48" s="144">
        <v>0</v>
      </c>
    </row>
    <row r="49" spans="1:6" ht="13.5" thickBot="1">
      <c r="A49" s="147" t="s">
        <v>100</v>
      </c>
      <c r="B49" s="145" t="s">
        <v>152</v>
      </c>
      <c r="C49" s="146">
        <v>0</v>
      </c>
      <c r="D49" s="146">
        <f>0+25000</f>
        <v>25000</v>
      </c>
      <c r="E49" s="146">
        <f>ONIV!E22</f>
        <v>20000</v>
      </c>
      <c r="F49" s="146">
        <v>0</v>
      </c>
    </row>
    <row r="53" spans="1:6" s="53" customFormat="1" ht="25.5" customHeight="1">
      <c r="A53" s="191" t="s">
        <v>207</v>
      </c>
      <c r="B53" s="191"/>
      <c r="C53" s="191"/>
      <c r="D53" s="191"/>
      <c r="E53" s="191"/>
      <c r="F53" s="191"/>
    </row>
    <row r="54" spans="1:6">
      <c r="A54" s="167"/>
      <c r="B54" s="167"/>
    </row>
    <row r="55" spans="1:6" ht="13.5" thickBot="1"/>
    <row r="56" spans="1:6" ht="51.75" thickBot="1">
      <c r="A56" s="48" t="s">
        <v>4</v>
      </c>
      <c r="B56" s="49" t="s">
        <v>0</v>
      </c>
      <c r="C56" s="150" t="s">
        <v>202</v>
      </c>
      <c r="D56" s="150" t="s">
        <v>203</v>
      </c>
      <c r="E56" s="150" t="s">
        <v>208</v>
      </c>
      <c r="F56" s="150" t="s">
        <v>173</v>
      </c>
    </row>
    <row r="57" spans="1:6" ht="13.5" thickTop="1">
      <c r="A57" s="138"/>
      <c r="B57" s="139" t="s">
        <v>126</v>
      </c>
      <c r="C57" s="140">
        <f>SUM(C58:C62)</f>
        <v>35000</v>
      </c>
      <c r="D57" s="140">
        <f>SUM(D58:D62)</f>
        <v>50000</v>
      </c>
      <c r="E57" s="140">
        <f>SUM(E58:E62)</f>
        <v>43523</v>
      </c>
      <c r="F57" s="140">
        <f>SUM(F58:F62)</f>
        <v>0</v>
      </c>
    </row>
    <row r="58" spans="1:6">
      <c r="A58" s="128" t="s">
        <v>89</v>
      </c>
      <c r="B58" s="129" t="s">
        <v>127</v>
      </c>
      <c r="C58" s="135">
        <v>0</v>
      </c>
      <c r="D58" s="135">
        <v>0</v>
      </c>
      <c r="E58" s="135">
        <v>0</v>
      </c>
      <c r="F58" s="135">
        <v>0</v>
      </c>
    </row>
    <row r="59" spans="1:6">
      <c r="A59" s="126" t="s">
        <v>96</v>
      </c>
      <c r="B59" s="127" t="s">
        <v>171</v>
      </c>
      <c r="C59" s="135">
        <v>0</v>
      </c>
      <c r="D59" s="135">
        <v>0</v>
      </c>
      <c r="E59" s="135">
        <v>0</v>
      </c>
      <c r="F59" s="135">
        <v>0</v>
      </c>
    </row>
    <row r="60" spans="1:6">
      <c r="A60" s="126" t="s">
        <v>99</v>
      </c>
      <c r="B60" s="127" t="s">
        <v>128</v>
      </c>
      <c r="C60" s="135">
        <v>35000</v>
      </c>
      <c r="D60" s="135">
        <f>35000+5000+10000</f>
        <v>50000</v>
      </c>
      <c r="E60" s="135">
        <f>'OBEC '!C93</f>
        <v>43523</v>
      </c>
      <c r="F60" s="135">
        <v>0</v>
      </c>
    </row>
    <row r="61" spans="1:6">
      <c r="A61" s="126" t="s">
        <v>76</v>
      </c>
      <c r="B61" s="127" t="s">
        <v>129</v>
      </c>
      <c r="C61" s="135">
        <v>0</v>
      </c>
      <c r="D61" s="135">
        <v>0</v>
      </c>
      <c r="E61" s="135">
        <v>0</v>
      </c>
      <c r="F61" s="135">
        <v>0</v>
      </c>
    </row>
    <row r="62" spans="1:6" ht="13.5" thickBot="1">
      <c r="A62" s="141" t="s">
        <v>130</v>
      </c>
      <c r="B62" s="130" t="s">
        <v>118</v>
      </c>
      <c r="C62" s="142">
        <v>0</v>
      </c>
      <c r="D62" s="142">
        <v>0</v>
      </c>
      <c r="E62" s="142">
        <f>'OBEC '!C92</f>
        <v>0</v>
      </c>
      <c r="F62" s="142">
        <v>0</v>
      </c>
    </row>
    <row r="63" spans="1:6" ht="13.5" thickTop="1">
      <c r="A63" s="125"/>
      <c r="B63" s="139" t="s">
        <v>131</v>
      </c>
      <c r="C63" s="143">
        <f>SUM(C64:C74)</f>
        <v>35000</v>
      </c>
      <c r="D63" s="143">
        <f>SUM(D64:D74)</f>
        <v>50000</v>
      </c>
      <c r="E63" s="143">
        <f>SUM(E64:E74)</f>
        <v>43523</v>
      </c>
      <c r="F63" s="143">
        <f>SUM(F64:F74)</f>
        <v>0</v>
      </c>
    </row>
    <row r="64" spans="1:6">
      <c r="A64" s="126" t="s">
        <v>132</v>
      </c>
      <c r="B64" s="127" t="s">
        <v>133</v>
      </c>
      <c r="C64" s="135">
        <v>35000</v>
      </c>
      <c r="D64" s="135">
        <f>35000+5000+10000</f>
        <v>50000</v>
      </c>
      <c r="E64" s="135">
        <f>'OBEC '!D94</f>
        <v>43523</v>
      </c>
      <c r="F64" s="135">
        <v>0</v>
      </c>
    </row>
    <row r="65" spans="1:6">
      <c r="A65" s="128" t="s">
        <v>134</v>
      </c>
      <c r="B65" s="129" t="s">
        <v>33</v>
      </c>
      <c r="C65" s="144">
        <v>0</v>
      </c>
      <c r="D65" s="144">
        <v>0</v>
      </c>
      <c r="E65" s="144">
        <v>0</v>
      </c>
      <c r="F65" s="144">
        <v>0</v>
      </c>
    </row>
    <row r="66" spans="1:6">
      <c r="A66" s="128" t="s">
        <v>135</v>
      </c>
      <c r="B66" s="129" t="s">
        <v>17</v>
      </c>
      <c r="C66" s="144">
        <v>0</v>
      </c>
      <c r="D66" s="144">
        <v>0</v>
      </c>
      <c r="E66" s="144">
        <v>0</v>
      </c>
      <c r="F66" s="144">
        <v>0</v>
      </c>
    </row>
    <row r="67" spans="1:6">
      <c r="A67" s="128" t="s">
        <v>108</v>
      </c>
      <c r="B67" s="129" t="s">
        <v>25</v>
      </c>
      <c r="C67" s="144">
        <v>0</v>
      </c>
      <c r="D67" s="144">
        <v>0</v>
      </c>
      <c r="E67" s="144">
        <v>0</v>
      </c>
      <c r="F67" s="144">
        <v>0</v>
      </c>
    </row>
    <row r="68" spans="1:6">
      <c r="A68" s="128" t="s">
        <v>136</v>
      </c>
      <c r="B68" s="129" t="s">
        <v>62</v>
      </c>
      <c r="C68" s="144">
        <v>0</v>
      </c>
      <c r="D68" s="144">
        <v>0</v>
      </c>
      <c r="E68" s="144">
        <v>0</v>
      </c>
      <c r="F68" s="144">
        <v>0</v>
      </c>
    </row>
    <row r="69" spans="1:6">
      <c r="A69" s="128" t="s">
        <v>114</v>
      </c>
      <c r="B69" s="129" t="s">
        <v>137</v>
      </c>
      <c r="C69" s="144">
        <v>0</v>
      </c>
      <c r="D69" s="144">
        <v>0</v>
      </c>
      <c r="E69" s="144">
        <v>0</v>
      </c>
      <c r="F69" s="144">
        <v>0</v>
      </c>
    </row>
    <row r="70" spans="1:6">
      <c r="A70" s="128" t="s">
        <v>138</v>
      </c>
      <c r="B70" s="129" t="s">
        <v>139</v>
      </c>
      <c r="C70" s="144">
        <v>0</v>
      </c>
      <c r="D70" s="144">
        <v>0</v>
      </c>
      <c r="E70" s="144">
        <v>0</v>
      </c>
      <c r="F70" s="144">
        <v>0</v>
      </c>
    </row>
    <row r="71" spans="1:6">
      <c r="A71" s="126" t="s">
        <v>140</v>
      </c>
      <c r="B71" s="127" t="s">
        <v>141</v>
      </c>
      <c r="C71" s="135">
        <v>0</v>
      </c>
      <c r="D71" s="135">
        <v>0</v>
      </c>
      <c r="E71" s="135">
        <v>0</v>
      </c>
      <c r="F71" s="135">
        <v>0</v>
      </c>
    </row>
    <row r="72" spans="1:6">
      <c r="A72" s="126" t="s">
        <v>142</v>
      </c>
      <c r="B72" s="127" t="s">
        <v>117</v>
      </c>
      <c r="C72" s="135">
        <v>0</v>
      </c>
      <c r="D72" s="135">
        <v>0</v>
      </c>
      <c r="E72" s="135">
        <v>0</v>
      </c>
      <c r="F72" s="135">
        <v>0</v>
      </c>
    </row>
    <row r="73" spans="1:6">
      <c r="A73" s="128" t="s">
        <v>143</v>
      </c>
      <c r="B73" s="129" t="s">
        <v>27</v>
      </c>
      <c r="C73" s="144">
        <v>0</v>
      </c>
      <c r="D73" s="144">
        <v>0</v>
      </c>
      <c r="E73" s="144">
        <v>0</v>
      </c>
      <c r="F73" s="144">
        <v>0</v>
      </c>
    </row>
    <row r="74" spans="1:6" ht="13.5" thickBot="1">
      <c r="A74" s="147" t="s">
        <v>100</v>
      </c>
      <c r="B74" s="145" t="s">
        <v>152</v>
      </c>
      <c r="C74" s="146">
        <v>0</v>
      </c>
      <c r="D74" s="146">
        <v>0</v>
      </c>
      <c r="E74" s="146">
        <f>'OBEC '!D95</f>
        <v>0</v>
      </c>
      <c r="F74" s="146">
        <v>0</v>
      </c>
    </row>
    <row r="77" spans="1:6" s="53" customFormat="1" ht="25.5" customHeight="1">
      <c r="A77" s="191" t="s">
        <v>209</v>
      </c>
      <c r="B77" s="191"/>
      <c r="C77" s="191"/>
      <c r="D77" s="191"/>
      <c r="E77" s="191"/>
      <c r="F77" s="191"/>
    </row>
    <row r="78" spans="1:6">
      <c r="A78" s="167"/>
      <c r="B78" s="167"/>
    </row>
    <row r="79" spans="1:6" ht="13.5" thickBot="1"/>
    <row r="80" spans="1:6" ht="51.75" thickBot="1">
      <c r="A80" s="48" t="s">
        <v>4</v>
      </c>
      <c r="B80" s="49" t="s">
        <v>0</v>
      </c>
      <c r="C80" s="150" t="s">
        <v>202</v>
      </c>
      <c r="D80" s="150" t="s">
        <v>203</v>
      </c>
      <c r="E80" s="150" t="s">
        <v>204</v>
      </c>
      <c r="F80" s="150" t="s">
        <v>173</v>
      </c>
    </row>
    <row r="81" spans="1:6" ht="13.5" thickTop="1">
      <c r="A81" s="138"/>
      <c r="B81" s="139" t="s">
        <v>126</v>
      </c>
      <c r="C81" s="140">
        <f>SUM(C82:C86)</f>
        <v>1030000</v>
      </c>
      <c r="D81" s="140">
        <f>SUM(D82:D86)</f>
        <v>1173000</v>
      </c>
      <c r="E81" s="140">
        <f>SUM(E82:E86)</f>
        <v>1116930.81</v>
      </c>
      <c r="F81" s="140">
        <f>SUM(F82:F86)</f>
        <v>0</v>
      </c>
    </row>
    <row r="82" spans="1:6">
      <c r="A82" s="128" t="s">
        <v>89</v>
      </c>
      <c r="B82" s="129" t="s">
        <v>127</v>
      </c>
      <c r="C82" s="135">
        <v>0</v>
      </c>
      <c r="D82" s="135">
        <v>0</v>
      </c>
      <c r="E82" s="135">
        <v>0</v>
      </c>
      <c r="F82" s="135">
        <v>0</v>
      </c>
    </row>
    <row r="83" spans="1:6">
      <c r="A83" s="126" t="s">
        <v>96</v>
      </c>
      <c r="B83" s="127" t="s">
        <v>171</v>
      </c>
      <c r="C83" s="135">
        <v>0</v>
      </c>
      <c r="D83" s="135">
        <v>0</v>
      </c>
      <c r="E83" s="135">
        <v>0</v>
      </c>
      <c r="F83" s="135">
        <v>0</v>
      </c>
    </row>
    <row r="84" spans="1:6">
      <c r="A84" s="126" t="s">
        <v>99</v>
      </c>
      <c r="B84" s="127" t="s">
        <v>128</v>
      </c>
      <c r="C84" s="135">
        <v>0</v>
      </c>
      <c r="D84" s="135">
        <v>0</v>
      </c>
      <c r="E84" s="135">
        <v>0</v>
      </c>
      <c r="F84" s="135">
        <v>0</v>
      </c>
    </row>
    <row r="85" spans="1:6">
      <c r="A85" s="126" t="s">
        <v>76</v>
      </c>
      <c r="B85" s="127" t="s">
        <v>129</v>
      </c>
      <c r="C85" s="135">
        <v>0</v>
      </c>
      <c r="D85" s="135">
        <v>0</v>
      </c>
      <c r="E85" s="135">
        <v>0</v>
      </c>
      <c r="F85" s="135">
        <v>0</v>
      </c>
    </row>
    <row r="86" spans="1:6" ht="13.5" thickBot="1">
      <c r="A86" s="141" t="s">
        <v>130</v>
      </c>
      <c r="B86" s="130" t="s">
        <v>118</v>
      </c>
      <c r="C86" s="142">
        <v>1030000</v>
      </c>
      <c r="D86" s="142">
        <f>1030000+80000+63000</f>
        <v>1173000</v>
      </c>
      <c r="E86" s="142">
        <f>'OBEC '!C57+'OBEC '!C67+'OBEC '!C82</f>
        <v>1116930.81</v>
      </c>
      <c r="F86" s="142">
        <v>0</v>
      </c>
    </row>
    <row r="87" spans="1:6" ht="13.5" thickTop="1">
      <c r="A87" s="125"/>
      <c r="B87" s="139" t="s">
        <v>131</v>
      </c>
      <c r="C87" s="143">
        <f>SUM(C88:C98)</f>
        <v>1030000</v>
      </c>
      <c r="D87" s="143">
        <f>SUM(D88:D98)</f>
        <v>1173000</v>
      </c>
      <c r="E87" s="143">
        <f>SUM(E88:E98)</f>
        <v>1116930.81</v>
      </c>
      <c r="F87" s="143">
        <f>SUM(F88:F98)</f>
        <v>0</v>
      </c>
    </row>
    <row r="88" spans="1:6">
      <c r="A88" s="126" t="s">
        <v>132</v>
      </c>
      <c r="B88" s="127" t="s">
        <v>133</v>
      </c>
      <c r="C88" s="135">
        <v>903300</v>
      </c>
      <c r="D88" s="135">
        <f>903300+80000+63000</f>
        <v>1046300</v>
      </c>
      <c r="E88" s="135">
        <f>'OBEC '!D59+'OBEC '!D68+'OBEC '!D83+'OBEC '!D69-'OBEC '!C58</f>
        <v>1033504.81</v>
      </c>
      <c r="F88" s="135">
        <v>0</v>
      </c>
    </row>
    <row r="89" spans="1:6">
      <c r="A89" s="128" t="s">
        <v>134</v>
      </c>
      <c r="B89" s="129" t="s">
        <v>33</v>
      </c>
      <c r="C89" s="144">
        <v>0</v>
      </c>
      <c r="D89" s="144">
        <f>0</f>
        <v>0</v>
      </c>
      <c r="E89" s="144">
        <v>0</v>
      </c>
      <c r="F89" s="144">
        <v>0</v>
      </c>
    </row>
    <row r="90" spans="1:6">
      <c r="A90" s="128" t="s">
        <v>135</v>
      </c>
      <c r="B90" s="129" t="s">
        <v>17</v>
      </c>
      <c r="C90" s="144">
        <v>0</v>
      </c>
      <c r="D90" s="144">
        <f>0</f>
        <v>0</v>
      </c>
      <c r="E90" s="144">
        <v>0</v>
      </c>
      <c r="F90" s="144">
        <v>0</v>
      </c>
    </row>
    <row r="91" spans="1:6">
      <c r="A91" s="128" t="s">
        <v>108</v>
      </c>
      <c r="B91" s="129" t="s">
        <v>25</v>
      </c>
      <c r="C91" s="144">
        <v>25000</v>
      </c>
      <c r="D91" s="144">
        <f>25000</f>
        <v>25000</v>
      </c>
      <c r="E91" s="144">
        <f>'OBEC '!D70+'OBEC '!D84</f>
        <v>14682</v>
      </c>
      <c r="F91" s="144">
        <v>0</v>
      </c>
    </row>
    <row r="92" spans="1:6">
      <c r="A92" s="128" t="s">
        <v>136</v>
      </c>
      <c r="B92" s="129" t="s">
        <v>62</v>
      </c>
      <c r="C92" s="144">
        <v>75000</v>
      </c>
      <c r="D92" s="144">
        <f>75000</f>
        <v>75000</v>
      </c>
      <c r="E92" s="144">
        <f>'OBEC '!D71</f>
        <v>50622</v>
      </c>
      <c r="F92" s="144">
        <v>0</v>
      </c>
    </row>
    <row r="93" spans="1:6">
      <c r="A93" s="128" t="s">
        <v>114</v>
      </c>
      <c r="B93" s="129" t="s">
        <v>137</v>
      </c>
      <c r="C93" s="144">
        <v>25200</v>
      </c>
      <c r="D93" s="144">
        <f>25200</f>
        <v>25200</v>
      </c>
      <c r="E93" s="144">
        <f>'OBEC '!D72+'OBEC '!D73</f>
        <v>17113</v>
      </c>
      <c r="F93" s="144">
        <v>0</v>
      </c>
    </row>
    <row r="94" spans="1:6">
      <c r="A94" s="128" t="s">
        <v>138</v>
      </c>
      <c r="B94" s="129" t="s">
        <v>139</v>
      </c>
      <c r="C94" s="144">
        <v>0</v>
      </c>
      <c r="D94" s="144">
        <f>0</f>
        <v>0</v>
      </c>
      <c r="E94" s="144">
        <v>0</v>
      </c>
      <c r="F94" s="144">
        <v>0</v>
      </c>
    </row>
    <row r="95" spans="1:6">
      <c r="A95" s="126" t="s">
        <v>140</v>
      </c>
      <c r="B95" s="127" t="s">
        <v>141</v>
      </c>
      <c r="C95" s="135">
        <v>1500</v>
      </c>
      <c r="D95" s="135">
        <f>1500</f>
        <v>1500</v>
      </c>
      <c r="E95" s="135">
        <f>'OBEC '!D74</f>
        <v>1009</v>
      </c>
      <c r="F95" s="135">
        <v>0</v>
      </c>
    </row>
    <row r="96" spans="1:6">
      <c r="A96" s="126" t="s">
        <v>142</v>
      </c>
      <c r="B96" s="127" t="s">
        <v>117</v>
      </c>
      <c r="C96" s="135">
        <v>0</v>
      </c>
      <c r="D96" s="135">
        <f>0</f>
        <v>0</v>
      </c>
      <c r="E96" s="135">
        <v>0</v>
      </c>
      <c r="F96" s="135">
        <v>0</v>
      </c>
    </row>
    <row r="97" spans="1:6">
      <c r="A97" s="128" t="s">
        <v>143</v>
      </c>
      <c r="B97" s="129" t="s">
        <v>27</v>
      </c>
      <c r="C97" s="144">
        <v>0</v>
      </c>
      <c r="D97" s="144">
        <f>0</f>
        <v>0</v>
      </c>
      <c r="E97" s="144">
        <v>0</v>
      </c>
      <c r="F97" s="144">
        <v>0</v>
      </c>
    </row>
    <row r="98" spans="1:6" ht="13.5" thickBot="1">
      <c r="A98" s="147" t="s">
        <v>100</v>
      </c>
      <c r="B98" s="145" t="s">
        <v>152</v>
      </c>
      <c r="C98" s="146">
        <v>0</v>
      </c>
      <c r="D98" s="146">
        <f>0</f>
        <v>0</v>
      </c>
      <c r="E98" s="146">
        <v>0</v>
      </c>
      <c r="F98" s="146">
        <v>0</v>
      </c>
    </row>
    <row r="102" spans="1:6" ht="19.5">
      <c r="A102" s="191" t="s">
        <v>244</v>
      </c>
      <c r="B102" s="191"/>
      <c r="C102" s="191"/>
      <c r="D102" s="191"/>
      <c r="E102" s="191"/>
      <c r="F102" s="191"/>
    </row>
    <row r="103" spans="1:6">
      <c r="A103" s="167"/>
      <c r="B103" s="167"/>
    </row>
    <row r="104" spans="1:6" ht="13.5" thickBot="1"/>
    <row r="105" spans="1:6" ht="51.75" thickBot="1">
      <c r="A105" s="48" t="s">
        <v>4</v>
      </c>
      <c r="B105" s="49" t="s">
        <v>0</v>
      </c>
      <c r="C105" s="150" t="s">
        <v>202</v>
      </c>
      <c r="D105" s="150" t="s">
        <v>203</v>
      </c>
      <c r="E105" s="150" t="s">
        <v>204</v>
      </c>
      <c r="F105" s="150" t="s">
        <v>173</v>
      </c>
    </row>
    <row r="106" spans="1:6" ht="13.5" thickTop="1">
      <c r="A106" s="138"/>
      <c r="B106" s="139" t="s">
        <v>126</v>
      </c>
      <c r="C106" s="140">
        <f>SUM(C107:C111)</f>
        <v>315917</v>
      </c>
      <c r="D106" s="140">
        <f>SUM(D107:D111)</f>
        <v>336917</v>
      </c>
      <c r="E106" s="140">
        <f>SUM(E107:E111)</f>
        <v>245636.09</v>
      </c>
      <c r="F106" s="140">
        <f>SUM(F107:F111)</f>
        <v>0</v>
      </c>
    </row>
    <row r="107" spans="1:6">
      <c r="A107" s="128" t="s">
        <v>89</v>
      </c>
      <c r="B107" s="129" t="s">
        <v>127</v>
      </c>
      <c r="C107" s="135">
        <v>0</v>
      </c>
      <c r="D107" s="135">
        <v>0</v>
      </c>
      <c r="E107" s="135">
        <v>0</v>
      </c>
      <c r="F107" s="135">
        <v>0</v>
      </c>
    </row>
    <row r="108" spans="1:6">
      <c r="A108" s="126" t="s">
        <v>96</v>
      </c>
      <c r="B108" s="127" t="s">
        <v>171</v>
      </c>
      <c r="C108" s="135">
        <v>0</v>
      </c>
      <c r="D108" s="135">
        <v>0</v>
      </c>
      <c r="E108" s="135">
        <v>0</v>
      </c>
      <c r="F108" s="135">
        <v>0</v>
      </c>
    </row>
    <row r="109" spans="1:6">
      <c r="A109" s="126" t="s">
        <v>99</v>
      </c>
      <c r="B109" s="127" t="s">
        <v>128</v>
      </c>
      <c r="C109" s="135">
        <v>315917</v>
      </c>
      <c r="D109" s="135">
        <f>315917+21000</f>
        <v>336917</v>
      </c>
      <c r="E109" s="135">
        <f>'OBEC '!C118+'OBEC '!C58</f>
        <v>245636.09</v>
      </c>
      <c r="F109" s="135">
        <v>0</v>
      </c>
    </row>
    <row r="110" spans="1:6">
      <c r="A110" s="126" t="s">
        <v>76</v>
      </c>
      <c r="B110" s="127" t="s">
        <v>129</v>
      </c>
      <c r="C110" s="135">
        <v>0</v>
      </c>
      <c r="D110" s="135">
        <v>0</v>
      </c>
      <c r="E110" s="135">
        <v>0</v>
      </c>
      <c r="F110" s="135">
        <v>0</v>
      </c>
    </row>
    <row r="111" spans="1:6" ht="13.5" thickBot="1">
      <c r="A111" s="141" t="s">
        <v>130</v>
      </c>
      <c r="B111" s="130" t="s">
        <v>118</v>
      </c>
      <c r="C111" s="142">
        <v>0</v>
      </c>
      <c r="D111" s="142">
        <v>0</v>
      </c>
      <c r="E111" s="142">
        <v>0</v>
      </c>
      <c r="F111" s="142">
        <v>0</v>
      </c>
    </row>
    <row r="112" spans="1:6" ht="13.5" thickTop="1">
      <c r="A112" s="125"/>
      <c r="B112" s="139" t="s">
        <v>131</v>
      </c>
      <c r="C112" s="143">
        <f>SUM(C113:C123)</f>
        <v>315917</v>
      </c>
      <c r="D112" s="143">
        <f>SUM(D113:D123)</f>
        <v>336917</v>
      </c>
      <c r="E112" s="143">
        <f>SUM(E113:E123)</f>
        <v>245636.09</v>
      </c>
      <c r="F112" s="143">
        <f>SUM(F113:F123)</f>
        <v>0</v>
      </c>
    </row>
    <row r="113" spans="1:6">
      <c r="A113" s="126" t="s">
        <v>132</v>
      </c>
      <c r="B113" s="127" t="s">
        <v>133</v>
      </c>
      <c r="C113" s="135">
        <v>20799</v>
      </c>
      <c r="D113" s="135">
        <f>20799+21000+2000</f>
        <v>43799</v>
      </c>
      <c r="E113" s="135">
        <f>'OBEC '!D105+'OBEC '!C58</f>
        <v>43241.09</v>
      </c>
      <c r="F113" s="135">
        <v>0</v>
      </c>
    </row>
    <row r="114" spans="1:6">
      <c r="A114" s="128" t="s">
        <v>134</v>
      </c>
      <c r="B114" s="129" t="s">
        <v>33</v>
      </c>
      <c r="C114" s="144">
        <v>0</v>
      </c>
      <c r="D114" s="144">
        <f>0</f>
        <v>0</v>
      </c>
      <c r="E114" s="144">
        <v>0</v>
      </c>
      <c r="F114" s="144">
        <v>0</v>
      </c>
    </row>
    <row r="115" spans="1:6">
      <c r="A115" s="128" t="s">
        <v>135</v>
      </c>
      <c r="B115" s="129" t="s">
        <v>17</v>
      </c>
      <c r="C115" s="144">
        <v>0</v>
      </c>
      <c r="D115" s="144">
        <f>0</f>
        <v>0</v>
      </c>
      <c r="E115" s="144">
        <v>0</v>
      </c>
      <c r="F115" s="144">
        <v>0</v>
      </c>
    </row>
    <row r="116" spans="1:6">
      <c r="A116" s="128" t="s">
        <v>108</v>
      </c>
      <c r="B116" s="129" t="s">
        <v>25</v>
      </c>
      <c r="C116" s="144">
        <v>19246</v>
      </c>
      <c r="D116" s="144">
        <f>19246+8000</f>
        <v>27246</v>
      </c>
      <c r="E116" s="144">
        <f>'OBEC '!D106+'OBEC '!D107+'OBEC '!D108</f>
        <v>26999</v>
      </c>
      <c r="F116" s="144">
        <v>0</v>
      </c>
    </row>
    <row r="117" spans="1:6">
      <c r="A117" s="128" t="s">
        <v>136</v>
      </c>
      <c r="B117" s="129" t="s">
        <v>62</v>
      </c>
      <c r="C117" s="144">
        <v>103780</v>
      </c>
      <c r="D117" s="144">
        <f>103780+40000-1000-1200</f>
        <v>141580</v>
      </c>
      <c r="E117" s="144">
        <f>'OBEC '!D109</f>
        <v>129544</v>
      </c>
      <c r="F117" s="144">
        <v>0</v>
      </c>
    </row>
    <row r="118" spans="1:6">
      <c r="A118" s="128" t="s">
        <v>114</v>
      </c>
      <c r="B118" s="129" t="s">
        <v>137</v>
      </c>
      <c r="C118" s="144">
        <v>24267</v>
      </c>
      <c r="D118" s="144">
        <f>24267+15000+1000</f>
        <v>40267</v>
      </c>
      <c r="E118" s="144">
        <f>'OBEC '!D110+'OBEC '!D111</f>
        <v>40070</v>
      </c>
      <c r="F118" s="144">
        <v>0</v>
      </c>
    </row>
    <row r="119" spans="1:6">
      <c r="A119" s="128" t="s">
        <v>138</v>
      </c>
      <c r="B119" s="129" t="s">
        <v>139</v>
      </c>
      <c r="C119" s="144">
        <v>0</v>
      </c>
      <c r="D119" s="144">
        <f>0</f>
        <v>0</v>
      </c>
      <c r="E119" s="144">
        <v>0</v>
      </c>
      <c r="F119" s="144">
        <v>0</v>
      </c>
    </row>
    <row r="120" spans="1:6">
      <c r="A120" s="126" t="s">
        <v>140</v>
      </c>
      <c r="B120" s="127" t="s">
        <v>141</v>
      </c>
      <c r="C120" s="135">
        <v>0</v>
      </c>
      <c r="D120" s="135">
        <f>0+1000</f>
        <v>1000</v>
      </c>
      <c r="E120" s="135">
        <f>'OBEC '!D112</f>
        <v>775</v>
      </c>
      <c r="F120" s="135">
        <v>0</v>
      </c>
    </row>
    <row r="121" spans="1:6">
      <c r="A121" s="126" t="s">
        <v>142</v>
      </c>
      <c r="B121" s="127" t="s">
        <v>117</v>
      </c>
      <c r="C121" s="135">
        <v>0</v>
      </c>
      <c r="D121" s="135">
        <f>0+1000+1200</f>
        <v>2200</v>
      </c>
      <c r="E121" s="135">
        <f>'OBEC '!D113</f>
        <v>2029</v>
      </c>
      <c r="F121" s="135">
        <v>0</v>
      </c>
    </row>
    <row r="122" spans="1:6">
      <c r="A122" s="128" t="s">
        <v>143</v>
      </c>
      <c r="B122" s="129" t="s">
        <v>27</v>
      </c>
      <c r="C122" s="144">
        <v>0</v>
      </c>
      <c r="D122" s="144">
        <f>0</f>
        <v>0</v>
      </c>
      <c r="E122" s="144">
        <v>0</v>
      </c>
      <c r="F122" s="144">
        <v>0</v>
      </c>
    </row>
    <row r="123" spans="1:6" ht="13.5" thickBot="1">
      <c r="A123" s="147" t="s">
        <v>100</v>
      </c>
      <c r="B123" s="145" t="s">
        <v>152</v>
      </c>
      <c r="C123" s="146">
        <v>147825</v>
      </c>
      <c r="D123" s="146">
        <f>147825-15000-1000-40000-1000-2000-8000</f>
        <v>80825</v>
      </c>
      <c r="E123" s="146">
        <f>'OBEC '!D114</f>
        <v>2978</v>
      </c>
      <c r="F123" s="146">
        <v>0</v>
      </c>
    </row>
  </sheetData>
  <mergeCells count="5">
    <mergeCell ref="A1:F1"/>
    <mergeCell ref="A28:F28"/>
    <mergeCell ref="A53:F53"/>
    <mergeCell ref="A77:F77"/>
    <mergeCell ref="A102:F10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ONIV</vt:lpstr>
      <vt:lpstr>OBEC </vt:lpstr>
      <vt:lpstr>čerpání rozpočtu obce</vt:lpstr>
      <vt:lpstr>čerpání rozpočtu celkového</vt:lpstr>
      <vt:lpstr>čerpání dílčích rozpočtů</vt:lpstr>
      <vt:lpstr>ONIV!Oblast_tisku</vt:lpstr>
    </vt:vector>
  </TitlesOfParts>
  <Company>Lenka Egertová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Egertová</dc:creator>
  <cp:lastModifiedBy>Lenka Egertová</cp:lastModifiedBy>
  <cp:lastPrinted>2024-01-13T14:43:34Z</cp:lastPrinted>
  <dcterms:created xsi:type="dcterms:W3CDTF">2005-09-24T06:26:10Z</dcterms:created>
  <dcterms:modified xsi:type="dcterms:W3CDTF">2024-01-13T15:02:59Z</dcterms:modified>
</cp:coreProperties>
</file>